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 tabRatio="239" firstSheet="1" activeTab="1"/>
  </bookViews>
  <sheets>
    <sheet name="Приложение 1.1 (отопление)" sheetId="1" r:id="rId1"/>
    <sheet name="Приложение 1.2 (ГВС)" sheetId="2" r:id="rId2"/>
  </sheets>
  <definedNames>
    <definedName name="_xlnm.Print_Area" localSheetId="0">'Приложение 1.1 (отопление)'!$B$1:$AK$162</definedName>
    <definedName name="_xlnm.Print_Area" localSheetId="1">'Приложение 1.2 (ГВС)'!$A$1:$Q$110</definedName>
  </definedNames>
  <calcPr calcId="125725"/>
</workbook>
</file>

<file path=xl/calcChain.xml><?xml version="1.0" encoding="utf-8"?>
<calcChain xmlns="http://schemas.openxmlformats.org/spreadsheetml/2006/main">
  <c r="H6" i="2"/>
  <c r="L6"/>
  <c r="J101"/>
  <c r="J102"/>
  <c r="J100"/>
  <c r="J98"/>
  <c r="J93"/>
  <c r="J94"/>
  <c r="J92"/>
  <c r="J89"/>
  <c r="J90"/>
  <c r="J88"/>
  <c r="H96"/>
  <c r="N96" s="1"/>
  <c r="H97"/>
  <c r="E101"/>
  <c r="E102"/>
  <c r="E100"/>
  <c r="E98"/>
  <c r="E93"/>
  <c r="E94"/>
  <c r="E92"/>
  <c r="E89"/>
  <c r="E90"/>
  <c r="E88"/>
  <c r="H101"/>
  <c r="H98"/>
  <c r="H93"/>
  <c r="H89"/>
  <c r="H90"/>
  <c r="C132" i="1"/>
  <c r="AL61"/>
  <c r="C138"/>
  <c r="H92"/>
  <c r="C57"/>
  <c r="H11"/>
  <c r="N97" i="2"/>
  <c r="O96"/>
  <c r="O97"/>
  <c r="G49"/>
  <c r="I49" s="1"/>
  <c r="G50"/>
  <c r="G51"/>
  <c r="I51" s="1"/>
  <c r="G52"/>
  <c r="G53"/>
  <c r="I53" s="1"/>
  <c r="G54"/>
  <c r="G55"/>
  <c r="C55" s="1"/>
  <c r="G56"/>
  <c r="G59"/>
  <c r="C59" s="1"/>
  <c r="G48"/>
  <c r="C48" s="1"/>
  <c r="K43"/>
  <c r="C53"/>
  <c r="C51"/>
  <c r="G14"/>
  <c r="C49" l="1"/>
  <c r="I55"/>
  <c r="H88"/>
  <c r="N88" s="1"/>
  <c r="H92"/>
  <c r="H100"/>
  <c r="H94"/>
  <c r="H102"/>
  <c r="P96"/>
  <c r="P97"/>
  <c r="L43"/>
  <c r="M44" s="1"/>
  <c r="N44" s="1"/>
  <c r="I59"/>
  <c r="H43"/>
  <c r="I43" s="1"/>
  <c r="H81" s="1"/>
  <c r="F48"/>
  <c r="F49"/>
  <c r="F50"/>
  <c r="F51"/>
  <c r="F52"/>
  <c r="F53"/>
  <c r="F54"/>
  <c r="F55"/>
  <c r="F56"/>
  <c r="F59"/>
  <c r="G60"/>
  <c r="F14"/>
  <c r="C14"/>
  <c r="G11"/>
  <c r="G19"/>
  <c r="G15"/>
  <c r="G22"/>
  <c r="G16"/>
  <c r="G12"/>
  <c r="G17"/>
  <c r="G13"/>
  <c r="G18"/>
  <c r="G23" l="1"/>
  <c r="I44"/>
  <c r="M43"/>
  <c r="N43" s="1"/>
  <c r="C54"/>
  <c r="I54"/>
  <c r="C56"/>
  <c r="I56"/>
  <c r="I48"/>
  <c r="C50"/>
  <c r="I50"/>
  <c r="C52"/>
  <c r="I52"/>
  <c r="F60"/>
  <c r="F13"/>
  <c r="C13"/>
  <c r="F22"/>
  <c r="E95" s="1"/>
  <c r="C22"/>
  <c r="F16"/>
  <c r="C16"/>
  <c r="F11"/>
  <c r="C11"/>
  <c r="F18"/>
  <c r="C18"/>
  <c r="F12"/>
  <c r="C12"/>
  <c r="C19"/>
  <c r="F19"/>
  <c r="F17"/>
  <c r="C17"/>
  <c r="C15"/>
  <c r="F15"/>
  <c r="F23" l="1"/>
  <c r="E99"/>
  <c r="E91"/>
  <c r="E87"/>
  <c r="I60"/>
  <c r="E103" l="1"/>
  <c r="C110" i="1"/>
  <c r="Z94"/>
  <c r="AG94" s="1"/>
  <c r="AI94" s="1"/>
  <c r="Y94"/>
  <c r="AF94" s="1"/>
  <c r="AH94" s="1"/>
  <c r="J94"/>
  <c r="R94" s="1"/>
  <c r="F92"/>
  <c r="L92" s="1"/>
  <c r="C32"/>
  <c r="N11" s="1"/>
  <c r="N13" s="1"/>
  <c r="D110" l="1"/>
  <c r="M92" s="1"/>
  <c r="M94" s="1"/>
  <c r="N92"/>
  <c r="N94" s="1"/>
  <c r="AE94" s="1"/>
  <c r="D32"/>
  <c r="M11" s="1"/>
  <c r="L94"/>
  <c r="AJ94"/>
  <c r="AA94"/>
  <c r="AC94" s="1"/>
  <c r="Q94" l="1"/>
  <c r="AD94"/>
  <c r="S94"/>
  <c r="E101"/>
  <c r="G134" s="1"/>
  <c r="E105"/>
  <c r="G138" s="1"/>
  <c r="E97"/>
  <c r="G130" s="1"/>
  <c r="E106"/>
  <c r="G139" s="1"/>
  <c r="E100"/>
  <c r="G133" s="1"/>
  <c r="E104"/>
  <c r="G137" s="1"/>
  <c r="E108"/>
  <c r="G141" s="1"/>
  <c r="E102"/>
  <c r="G135" s="1"/>
  <c r="E99"/>
  <c r="G132" s="1"/>
  <c r="E103"/>
  <c r="G136" s="1"/>
  <c r="E107"/>
  <c r="G140" s="1"/>
  <c r="E98"/>
  <c r="G131" s="1"/>
  <c r="O92"/>
  <c r="O94" s="1"/>
  <c r="G142" l="1"/>
  <c r="M6" i="2"/>
  <c r="I19"/>
  <c r="L94" s="1"/>
  <c r="O94" s="1"/>
  <c r="I22"/>
  <c r="I7"/>
  <c r="I6"/>
  <c r="I13"/>
  <c r="L102" s="1"/>
  <c r="O102" s="1"/>
  <c r="I14"/>
  <c r="I15"/>
  <c r="L89" s="1"/>
  <c r="O89" s="1"/>
  <c r="I17"/>
  <c r="N6" l="1"/>
  <c r="I81" s="1"/>
  <c r="L98"/>
  <c r="O98" s="1"/>
  <c r="O95" s="1"/>
  <c r="J95"/>
  <c r="L95" s="1"/>
  <c r="L92"/>
  <c r="O92" s="1"/>
  <c r="L88"/>
  <c r="O88" s="1"/>
  <c r="I16"/>
  <c r="L90" s="1"/>
  <c r="O90" s="1"/>
  <c r="I18"/>
  <c r="L93" s="1"/>
  <c r="O93" s="1"/>
  <c r="I11"/>
  <c r="I12"/>
  <c r="L101" s="1"/>
  <c r="O101" s="1"/>
  <c r="M7"/>
  <c r="N7" s="1"/>
  <c r="I23" l="1"/>
  <c r="J87"/>
  <c r="L87" s="1"/>
  <c r="J91"/>
  <c r="L91" s="1"/>
  <c r="O87"/>
  <c r="O91"/>
  <c r="J99"/>
  <c r="L99" s="1"/>
  <c r="L100"/>
  <c r="O100" s="1"/>
  <c r="O99" s="1"/>
  <c r="M13" i="1"/>
  <c r="J13"/>
  <c r="R13" s="1"/>
  <c r="F11"/>
  <c r="L11" s="1"/>
  <c r="H82" i="2" s="1"/>
  <c r="H83" s="1"/>
  <c r="AE13" i="1"/>
  <c r="Z13"/>
  <c r="AG13" s="1"/>
  <c r="AI13" s="1"/>
  <c r="Y13"/>
  <c r="AF13" s="1"/>
  <c r="AH13" s="1"/>
  <c r="Q13"/>
  <c r="J103" i="2" l="1"/>
  <c r="L103" s="1"/>
  <c r="O103"/>
  <c r="I83"/>
  <c r="O11" i="1"/>
  <c r="O13" s="1"/>
  <c r="S13"/>
  <c r="AD13"/>
  <c r="AJ13"/>
  <c r="AA13"/>
  <c r="AC13" s="1"/>
  <c r="L13" l="1"/>
  <c r="E19" s="1"/>
  <c r="G49" s="1"/>
  <c r="E29" l="1"/>
  <c r="G59" s="1"/>
  <c r="E30"/>
  <c r="G60" s="1"/>
  <c r="E28"/>
  <c r="G58" s="1"/>
  <c r="E25"/>
  <c r="G55" s="1"/>
  <c r="E21"/>
  <c r="G51" s="1"/>
  <c r="E22"/>
  <c r="G52" s="1"/>
  <c r="E24"/>
  <c r="G54" s="1"/>
  <c r="E20"/>
  <c r="G50" s="1"/>
  <c r="E26"/>
  <c r="G56" s="1"/>
  <c r="E23"/>
  <c r="G53" s="1"/>
  <c r="E27"/>
  <c r="G57" s="1"/>
  <c r="G61" l="1"/>
  <c r="N89" i="2"/>
  <c r="N90"/>
  <c r="P90" s="1"/>
  <c r="N101"/>
  <c r="P101" s="1"/>
  <c r="N93"/>
  <c r="P93" s="1"/>
  <c r="N102"/>
  <c r="P102" s="1"/>
  <c r="H95"/>
  <c r="N94"/>
  <c r="P94" s="1"/>
  <c r="P89"/>
  <c r="N92"/>
  <c r="N98"/>
  <c r="N100"/>
  <c r="P88"/>
  <c r="E110" i="1"/>
  <c r="E32"/>
  <c r="N87" i="2" l="1"/>
  <c r="H87"/>
  <c r="H91"/>
  <c r="H99"/>
  <c r="N91"/>
  <c r="P91" s="1"/>
  <c r="P92"/>
  <c r="P98"/>
  <c r="N95"/>
  <c r="P95" s="1"/>
  <c r="P87"/>
  <c r="P100"/>
  <c r="N99"/>
  <c r="P99" s="1"/>
  <c r="H103" l="1"/>
  <c r="N103"/>
  <c r="P103" s="1"/>
  <c r="P104" s="1"/>
</calcChain>
</file>

<file path=xl/comments1.xml><?xml version="1.0" encoding="utf-8"?>
<comments xmlns="http://schemas.openxmlformats.org/spreadsheetml/2006/main">
  <authors>
    <author>Автор</author>
  </authors>
  <commentList>
    <comment ref="H1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вместе с д/с</t>
        </r>
      </text>
    </comment>
  </commentList>
</comments>
</file>

<file path=xl/sharedStrings.xml><?xml version="1.0" encoding="utf-8"?>
<sst xmlns="http://schemas.openxmlformats.org/spreadsheetml/2006/main" count="344" uniqueCount="166">
  <si>
    <t>Посёлок</t>
  </si>
  <si>
    <t>Назначение здания</t>
  </si>
  <si>
    <t>Год постройки</t>
  </si>
  <si>
    <t>Наружный объём здания, м3.</t>
  </si>
  <si>
    <t>Свободная высота здания, L, м</t>
  </si>
  <si>
    <t>Коэффициент инфильтрац.</t>
  </si>
  <si>
    <t>Расчетная скорость ветра, м/с</t>
  </si>
  <si>
    <t>Коэффициент альфа</t>
  </si>
  <si>
    <t>tвн</t>
  </si>
  <si>
    <t>tро</t>
  </si>
  <si>
    <t>Qот max, Гкал/ч.</t>
  </si>
  <si>
    <t>tср</t>
  </si>
  <si>
    <t>Zот</t>
  </si>
  <si>
    <t>Qот год, Гкал/мес.</t>
  </si>
  <si>
    <t>tрв</t>
  </si>
  <si>
    <t>n,ч</t>
  </si>
  <si>
    <t>Qв max, Гкал/ч.</t>
  </si>
  <si>
    <t>Qв год, Гкал/мес.</t>
  </si>
  <si>
    <t>Ктп</t>
  </si>
  <si>
    <t>Норма расхода воды, л/сут.</t>
  </si>
  <si>
    <t>tхз</t>
  </si>
  <si>
    <t>tхл</t>
  </si>
  <si>
    <t>бетта</t>
  </si>
  <si>
    <t>Qо гвз, Гкал/ч</t>
  </si>
  <si>
    <t>Qо гвл, Гкал/ч</t>
  </si>
  <si>
    <t>Qо гв, Гкал/ч</t>
  </si>
  <si>
    <t>Кч</t>
  </si>
  <si>
    <t>Qоmax гв, Гкал/ч</t>
  </si>
  <si>
    <t>Qо гв, Гкал/год</t>
  </si>
  <si>
    <t>Расх воды на ГВС</t>
  </si>
  <si>
    <r>
      <t>G</t>
    </r>
    <r>
      <rPr>
        <sz val="8"/>
        <rFont val="Times New Roman"/>
        <family val="1"/>
        <charset val="204"/>
      </rPr>
      <t>гв з</t>
    </r>
    <r>
      <rPr>
        <sz val="10"/>
        <rFont val="Times New Roman"/>
        <family val="1"/>
        <charset val="204"/>
      </rPr>
      <t>, м3/ч</t>
    </r>
  </si>
  <si>
    <r>
      <t>G</t>
    </r>
    <r>
      <rPr>
        <sz val="8"/>
        <rFont val="Times New Roman"/>
        <family val="1"/>
        <charset val="204"/>
      </rPr>
      <t>гв л</t>
    </r>
    <r>
      <rPr>
        <sz val="10"/>
        <rFont val="Times New Roman"/>
        <family val="1"/>
        <charset val="204"/>
      </rPr>
      <t>, м3/ч</t>
    </r>
  </si>
  <si>
    <r>
      <t>G</t>
    </r>
    <r>
      <rPr>
        <sz val="8"/>
        <rFont val="Times New Roman"/>
        <family val="1"/>
        <charset val="204"/>
      </rPr>
      <t>гв з</t>
    </r>
    <r>
      <rPr>
        <sz val="10"/>
        <rFont val="Times New Roman"/>
        <family val="1"/>
        <charset val="204"/>
      </rPr>
      <t>, м3/отопительный сезон</t>
    </r>
  </si>
  <si>
    <r>
      <t>G</t>
    </r>
    <r>
      <rPr>
        <sz val="8"/>
        <rFont val="Times New Roman"/>
        <family val="1"/>
        <charset val="204"/>
      </rPr>
      <t>гв л</t>
    </r>
    <r>
      <rPr>
        <sz val="10"/>
        <rFont val="Times New Roman"/>
        <family val="1"/>
        <charset val="204"/>
      </rPr>
      <t>, м3/неотопительный сезон</t>
    </r>
  </si>
  <si>
    <r>
      <t>G</t>
    </r>
    <r>
      <rPr>
        <sz val="8"/>
        <rFont val="Times New Roman"/>
        <family val="1"/>
        <charset val="204"/>
      </rPr>
      <t>гв</t>
    </r>
    <r>
      <rPr>
        <sz val="10"/>
        <rFont val="Times New Roman"/>
        <family val="1"/>
        <charset val="204"/>
      </rPr>
      <t>, т/год</t>
    </r>
  </si>
  <si>
    <t>с. Лазо</t>
  </si>
  <si>
    <t>месяц</t>
  </si>
  <si>
    <t>кол-во дней</t>
  </si>
  <si>
    <t>температура, оС</t>
  </si>
  <si>
    <t>Кол-во тепла, Гкал/мес.</t>
  </si>
  <si>
    <t>окт</t>
  </si>
  <si>
    <t>ноя</t>
  </si>
  <si>
    <t>дек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</si>
  <si>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</si>
  <si>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</si>
  <si>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</si>
  <si>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</si>
  <si>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</si>
  <si>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</si>
  <si>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</si>
  <si>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</si>
  <si>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</si>
  <si>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Расчет потребности в горячей воде</t>
  </si>
  <si>
    <t>Потребитель</t>
  </si>
  <si>
    <t>Ед.изм.</t>
  </si>
  <si>
    <t>Кол-во потр., чел.</t>
  </si>
  <si>
    <t>Расход тепла,   Гкал/мес.</t>
  </si>
  <si>
    <t>Примечание</t>
  </si>
  <si>
    <t>(в отопительный период)</t>
  </si>
  <si>
    <t>(в неотопительный период)</t>
  </si>
  <si>
    <t>Расход воды, м3/мес.</t>
  </si>
  <si>
    <t>Расчет по формуле:</t>
  </si>
  <si>
    <t>α - поправочный к-нт к удельной отопительной характеристике</t>
  </si>
  <si>
    <t>Vн -наружный строительный объем здания, м3</t>
  </si>
  <si>
    <t>Подписи           сторон</t>
  </si>
  <si>
    <t>Энергоснабжающее предприятие</t>
  </si>
  <si>
    <t>Абонент</t>
  </si>
  <si>
    <t>Kн.р - расчетный коэффициент инфильтрации</t>
  </si>
  <si>
    <t>tср- средняя температура наружного воздуха для отопительного периода,°С</t>
  </si>
  <si>
    <r>
      <t>tвн - усредненная температура воздуха внутри отапливаемого помещения,</t>
    </r>
    <r>
      <rPr>
        <sz val="10"/>
        <rFont val="Times New Roman"/>
        <family val="1"/>
        <charset val="204"/>
      </rPr>
      <t>°</t>
    </r>
    <r>
      <rPr>
        <i/>
        <sz val="10"/>
        <rFont val="Times New Roman"/>
        <family val="1"/>
        <charset val="204"/>
      </rPr>
      <t>С</t>
    </r>
  </si>
  <si>
    <t>qот, ккал/(м3*ч*0С).</t>
  </si>
  <si>
    <r>
      <t xml:space="preserve">     Qо.р  =  α * Vн * q0 * ( tвн -  tо )  * (1 + Kн.р) * 10 </t>
    </r>
    <r>
      <rPr>
        <b/>
        <i/>
        <vertAlign val="superscript"/>
        <sz val="10"/>
        <rFont val="Times New Roman"/>
        <family val="1"/>
        <charset val="204"/>
      </rPr>
      <t>- 6</t>
    </r>
  </si>
  <si>
    <t>t0- расчетная температура наружного воздуха для проектирования отопленияв местности, где расположено здание°С</t>
  </si>
  <si>
    <t>Всего расход тепла,   Гкал/мес.</t>
  </si>
  <si>
    <t>Расход тепла в отопит. период,   Гкал/мес.</t>
  </si>
  <si>
    <t>кол-во дней не отопит период</t>
  </si>
  <si>
    <t>Расход тепла в неопотип. пероид,   Гкал/мес.</t>
  </si>
  <si>
    <t>Всего:</t>
  </si>
  <si>
    <t>кол-во дней в отопит. период</t>
  </si>
  <si>
    <t>№                                     п/п</t>
  </si>
  <si>
    <t>Всего расход воды в отопитель             ный период,  м3/мес.</t>
  </si>
  <si>
    <t>Всего расход воды в неотопитель             ный период,  м3/мес.</t>
  </si>
  <si>
    <t>Всего расход воды,                            м3/мес.</t>
  </si>
  <si>
    <t>Q макс. час расход тепла на ГВС, Гкал/час.</t>
  </si>
  <si>
    <t>Q средний  час.  расход тепла на ГВС, Гкал/час.</t>
  </si>
  <si>
    <t>Приложение</t>
  </si>
  <si>
    <t>Норма расхода  воды в средние сутки на 1 чел.  литр/сут.</t>
  </si>
  <si>
    <t>Норма расхода воды в час наиболь                            шего водопот                              ребления на 1 чел.  литр/час.</t>
  </si>
  <si>
    <t>Кол-во рабочих  дней</t>
  </si>
  <si>
    <t>Кол-во рабочих час.</t>
  </si>
  <si>
    <t>Максимальный водоразбор теплоно                          сителя на ГВС, т(м3)/час.</t>
  </si>
  <si>
    <t>СНиП 2.04.01-85*</t>
  </si>
  <si>
    <t>1/2</t>
  </si>
  <si>
    <t>1/1</t>
  </si>
  <si>
    <t xml:space="preserve">Расчет количества тепловой энергии для отопления </t>
  </si>
  <si>
    <t>июнь</t>
  </si>
  <si>
    <t>июль</t>
  </si>
  <si>
    <t>А.В. Подкопаев</t>
  </si>
  <si>
    <t>Н.Н. Захаров</t>
  </si>
  <si>
    <t>январь</t>
  </si>
  <si>
    <t>февраль</t>
  </si>
  <si>
    <t>март</t>
  </si>
  <si>
    <t>апрель</t>
  </si>
  <si>
    <t>август</t>
  </si>
  <si>
    <t>сентябрь</t>
  </si>
  <si>
    <t>октябрь</t>
  </si>
  <si>
    <t>ноябрь</t>
  </si>
  <si>
    <t>декабрь</t>
  </si>
  <si>
    <t xml:space="preserve"> здание школы</t>
  </si>
  <si>
    <t>1/1а</t>
  </si>
  <si>
    <t>,</t>
  </si>
  <si>
    <t>;</t>
  </si>
  <si>
    <t xml:space="preserve"> n = 8 - для зданий строительства после 1958 г.</t>
  </si>
  <si>
    <t>1 ученик, преподаватель</t>
  </si>
  <si>
    <t>1/2а</t>
  </si>
  <si>
    <t>Максимум тепловых нагрузок</t>
  </si>
  <si>
    <t>Q макс. час расход тепла на отопление, Гкал/час.</t>
  </si>
  <si>
    <t>Всего Гкал/час</t>
  </si>
  <si>
    <t>п. Оссора</t>
  </si>
  <si>
    <t xml:space="preserve">q0 - удельная отопительная характеристика при t= - 30°C </t>
  </si>
  <si>
    <t>период</t>
  </si>
  <si>
    <t>1 кв.</t>
  </si>
  <si>
    <t>2 кв.</t>
  </si>
  <si>
    <t>3 кв.</t>
  </si>
  <si>
    <t>4 кв</t>
  </si>
  <si>
    <t>год</t>
  </si>
  <si>
    <t>отопление</t>
  </si>
  <si>
    <t>ГВС</t>
  </si>
  <si>
    <t>потери в сетях</t>
  </si>
  <si>
    <t>Всего</t>
  </si>
  <si>
    <t>к-во тепловой энергии, Гкал</t>
  </si>
  <si>
    <t>норм утечка</t>
  </si>
  <si>
    <t>ГВС для открытой схемы</t>
  </si>
  <si>
    <t>к-во теплоносителя, т</t>
  </si>
  <si>
    <t>стоимость ТЭ, руб</t>
  </si>
  <si>
    <t>стоимость теплоносителя, руб</t>
  </si>
  <si>
    <t>Стоимость ТЭ и теплоносителя, руб</t>
  </si>
  <si>
    <t>в т.ч. НДС</t>
  </si>
  <si>
    <t>расчетный расход теплоносителя, т/ч</t>
  </si>
  <si>
    <t xml:space="preserve">Адрес - </t>
  </si>
  <si>
    <t xml:space="preserve">Источник теплоснабжения - </t>
  </si>
  <si>
    <t>административное здание</t>
  </si>
  <si>
    <t>т/ч</t>
  </si>
  <si>
    <t xml:space="preserve">Qi = Qобщ*(Si / SΣi), где </t>
  </si>
  <si>
    <t>Si – площадь помещения, занимаемого Абонентом,</t>
  </si>
  <si>
    <t>SΣi – площадь всех помещений в здании (за исключением помещений, предназначенных для общего пользования потребителями в здании).</t>
  </si>
  <si>
    <t>Qобщ – количество тепловой энергии на здание (определяется по показаниям прибора учета (УУТЭ), а при его отсутствии – по Приложению № 1/1),</t>
  </si>
  <si>
    <t>Потребитель:</t>
  </si>
  <si>
    <t>Абоненты:</t>
  </si>
  <si>
    <t>Кол-во тепла, Гкал/мес., по формуле п. 4.1.3 договора</t>
  </si>
  <si>
    <t>Итого:</t>
  </si>
  <si>
    <r>
      <t>Согласно п. 4.1.3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договора:</t>
    </r>
    <r>
      <rPr>
        <sz val="12"/>
        <color theme="1"/>
        <rFont val="Times New Roman"/>
        <family val="1"/>
        <charset val="204"/>
      </rPr>
      <t xml:space="preserve"> В случае, если в здании находятся помещения, занимаемые несколькими лицами, потребляющими тепловую энергию и теплоноситель, то количество принятой тепловой энергии на отопление объектов Абонента определяется по формуле:</t>
    </r>
  </si>
  <si>
    <t>котельная с. Карага</t>
  </si>
  <si>
    <t>ДШИ</t>
  </si>
  <si>
    <t>библиотека</t>
  </si>
  <si>
    <t>МУП "Оссор. ЖКХ"</t>
  </si>
  <si>
    <t>Почта России</t>
  </si>
  <si>
    <t>Администрация</t>
  </si>
  <si>
    <t>Абонент - Администрация МО СП "с. Карага"</t>
  </si>
  <si>
    <t>Адрес -с. Карага, ул. Лукашевского, 14</t>
  </si>
  <si>
    <t>Источник теплоснабжения - Котельная с. Карага</t>
  </si>
  <si>
    <t>с. Карага</t>
  </si>
  <si>
    <t>гараж</t>
  </si>
  <si>
    <t>ГБУЗ камчатского края"Карагинская районная больница"</t>
  </si>
  <si>
    <t>Н.В. Шафранская</t>
  </si>
  <si>
    <t>ФИО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</si>
</sst>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0.00000"/>
    <numFmt numFmtId="165" formatCode="0.0000"/>
    <numFmt numFmtId="166" formatCode="0.0"/>
    <numFmt numFmtId="167" formatCode="0.0000000"/>
    <numFmt numFmtId="168" formatCode="0.000000"/>
    <numFmt numFmtId="169" formatCode="0.000"/>
    <numFmt numFmtId="170" formatCode="#,##0.000000"/>
  </numFmts>
  <fonts count="3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i/>
      <vertAlign val="superscript"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43" fontId="33" fillId="0" borderId="0" applyFont="0" applyFill="0" applyBorder="0" applyAlignment="0" applyProtection="0"/>
  </cellStyleXfs>
  <cellXfs count="274">
    <xf numFmtId="0" fontId="0" fillId="0" borderId="0" xfId="0"/>
    <xf numFmtId="0" fontId="2" fillId="0" borderId="0" xfId="1" applyFont="1" applyFill="1" applyProtection="1"/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4" fillId="0" borderId="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164" fontId="2" fillId="0" borderId="12" xfId="1" applyNumberFormat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164" fontId="2" fillId="0" borderId="15" xfId="1" applyNumberFormat="1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164" fontId="4" fillId="0" borderId="16" xfId="1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 wrapText="1"/>
    </xf>
    <xf numFmtId="167" fontId="4" fillId="0" borderId="19" xfId="2" applyNumberFormat="1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168" fontId="7" fillId="0" borderId="20" xfId="1" applyNumberFormat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164" fontId="5" fillId="0" borderId="20" xfId="1" applyNumberFormat="1" applyFont="1" applyFill="1" applyBorder="1" applyAlignment="1">
      <alignment horizontal="center" vertical="center" wrapText="1"/>
    </xf>
    <xf numFmtId="1" fontId="5" fillId="0" borderId="20" xfId="1" applyNumberFormat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1" fontId="4" fillId="0" borderId="24" xfId="1" applyNumberFormat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4" fillId="0" borderId="26" xfId="0" applyFont="1" applyFill="1" applyBorder="1" applyAlignment="1" applyProtection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167" fontId="4" fillId="0" borderId="16" xfId="2" applyNumberFormat="1" applyFont="1" applyFill="1" applyBorder="1" applyAlignment="1">
      <alignment horizontal="center" vertical="center" wrapText="1"/>
    </xf>
    <xf numFmtId="168" fontId="4" fillId="0" borderId="28" xfId="1" applyNumberFormat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164" fontId="8" fillId="0" borderId="16" xfId="1" applyNumberFormat="1" applyFont="1" applyFill="1" applyBorder="1" applyAlignment="1">
      <alignment horizontal="center" vertical="center" wrapText="1"/>
    </xf>
    <xf numFmtId="2" fontId="4" fillId="0" borderId="16" xfId="1" applyNumberFormat="1" applyFont="1" applyFill="1" applyBorder="1" applyAlignment="1">
      <alignment horizontal="center" vertical="center" wrapText="1"/>
    </xf>
    <xf numFmtId="2" fontId="8" fillId="0" borderId="16" xfId="1" applyNumberFormat="1" applyFont="1" applyFill="1" applyBorder="1" applyAlignment="1">
      <alignment horizontal="center" vertical="center" wrapText="1"/>
    </xf>
    <xf numFmtId="1" fontId="4" fillId="0" borderId="29" xfId="1" applyNumberFormat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168" fontId="7" fillId="2" borderId="29" xfId="1" applyNumberFormat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31" xfId="0" applyFont="1" applyFill="1" applyBorder="1" applyAlignment="1" applyProtection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168" fontId="4" fillId="0" borderId="15" xfId="1" applyNumberFormat="1" applyFont="1" applyFill="1" applyBorder="1" applyAlignment="1">
      <alignment horizontal="center" vertical="center" wrapText="1"/>
    </xf>
    <xf numFmtId="0" fontId="4" fillId="0" borderId="0" xfId="0" applyFont="1" applyFill="1" applyProtection="1"/>
    <xf numFmtId="0" fontId="5" fillId="0" borderId="15" xfId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Font="1" applyFill="1" applyBorder="1" applyAlignment="1">
      <alignment wrapText="1"/>
    </xf>
    <xf numFmtId="0" fontId="2" fillId="0" borderId="15" xfId="1" applyFont="1" applyFill="1" applyBorder="1"/>
    <xf numFmtId="166" fontId="2" fillId="0" borderId="15" xfId="1" applyNumberFormat="1" applyFont="1" applyFill="1" applyBorder="1" applyAlignment="1">
      <alignment horizontal="center"/>
    </xf>
    <xf numFmtId="2" fontId="2" fillId="0" borderId="15" xfId="1" applyNumberFormat="1" applyFont="1" applyFill="1" applyBorder="1"/>
    <xf numFmtId="2" fontId="2" fillId="0" borderId="0" xfId="1" applyNumberFormat="1" applyFont="1" applyFill="1" applyBorder="1"/>
    <xf numFmtId="2" fontId="2" fillId="0" borderId="0" xfId="1" applyNumberFormat="1" applyFont="1" applyFill="1"/>
    <xf numFmtId="2" fontId="5" fillId="0" borderId="0" xfId="1" applyNumberFormat="1" applyFont="1" applyFill="1" applyBorder="1"/>
    <xf numFmtId="0" fontId="2" fillId="0" borderId="15" xfId="1" applyFont="1" applyFill="1" applyBorder="1" applyAlignment="1">
      <alignment horizontal="center"/>
    </xf>
    <xf numFmtId="0" fontId="0" fillId="3" borderId="0" xfId="0" applyFill="1" applyBorder="1"/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0" xfId="0" applyFont="1"/>
    <xf numFmtId="0" fontId="13" fillId="0" borderId="0" xfId="0" applyFont="1"/>
    <xf numFmtId="0" fontId="2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9" fillId="0" borderId="0" xfId="0" applyFont="1"/>
    <xf numFmtId="0" fontId="3" fillId="0" borderId="0" xfId="1" applyFont="1" applyFill="1" applyAlignment="1"/>
    <xf numFmtId="166" fontId="2" fillId="0" borderId="43" xfId="1" applyNumberFormat="1" applyFont="1" applyFill="1" applyBorder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/>
    </xf>
    <xf numFmtId="166" fontId="5" fillId="0" borderId="0" xfId="1" applyNumberFormat="1" applyFont="1" applyFill="1" applyBorder="1"/>
    <xf numFmtId="0" fontId="2" fillId="0" borderId="16" xfId="1" applyFont="1" applyFill="1" applyBorder="1"/>
    <xf numFmtId="0" fontId="5" fillId="0" borderId="0" xfId="1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" xfId="1" applyFont="1" applyFill="1" applyBorder="1"/>
    <xf numFmtId="169" fontId="2" fillId="0" borderId="16" xfId="1" applyNumberFormat="1" applyFont="1" applyFill="1" applyBorder="1"/>
    <xf numFmtId="169" fontId="0" fillId="4" borderId="0" xfId="0" applyNumberFormat="1" applyFill="1"/>
    <xf numFmtId="0" fontId="5" fillId="0" borderId="35" xfId="0" applyFont="1" applyBorder="1" applyAlignment="1">
      <alignment horizontal="center" vertical="center" wrapText="1"/>
    </xf>
    <xf numFmtId="4" fontId="2" fillId="0" borderId="0" xfId="1" applyNumberFormat="1" applyFont="1" applyFill="1"/>
    <xf numFmtId="0" fontId="5" fillId="0" borderId="44" xfId="0" applyFont="1" applyBorder="1" applyAlignment="1">
      <alignment horizontal="center" vertical="center" wrapText="1"/>
    </xf>
    <xf numFmtId="0" fontId="2" fillId="0" borderId="32" xfId="1" applyFont="1" applyFill="1" applyBorder="1"/>
    <xf numFmtId="0" fontId="5" fillId="0" borderId="0" xfId="0" applyFont="1" applyBorder="1" applyAlignment="1">
      <alignment horizontal="center" vertical="center" wrapText="1"/>
    </xf>
    <xf numFmtId="0" fontId="16" fillId="0" borderId="0" xfId="0" applyFont="1" applyBorder="1"/>
    <xf numFmtId="0" fontId="14" fillId="0" borderId="0" xfId="0" applyFont="1" applyBorder="1"/>
    <xf numFmtId="169" fontId="2" fillId="0" borderId="15" xfId="1" applyNumberFormat="1" applyFont="1" applyFill="1" applyBorder="1" applyAlignment="1">
      <alignment horizontal="center"/>
    </xf>
    <xf numFmtId="169" fontId="2" fillId="0" borderId="15" xfId="1" applyNumberFormat="1" applyFont="1" applyFill="1" applyBorder="1"/>
    <xf numFmtId="2" fontId="2" fillId="0" borderId="16" xfId="1" applyNumberFormat="1" applyFont="1" applyFill="1" applyBorder="1"/>
    <xf numFmtId="2" fontId="2" fillId="0" borderId="32" xfId="1" applyNumberFormat="1" applyFont="1" applyFill="1" applyBorder="1"/>
    <xf numFmtId="0" fontId="5" fillId="0" borderId="35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169" fontId="2" fillId="0" borderId="20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70" fontId="2" fillId="0" borderId="19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164" fontId="2" fillId="0" borderId="20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169" fontId="2" fillId="0" borderId="47" xfId="0" applyNumberFormat="1" applyFont="1" applyFill="1" applyBorder="1" applyAlignment="1">
      <alignment horizontal="center" vertical="center" wrapText="1"/>
    </xf>
    <xf numFmtId="170" fontId="2" fillId="0" borderId="16" xfId="0" applyNumberFormat="1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4" borderId="38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169" fontId="2" fillId="0" borderId="27" xfId="1" applyNumberFormat="1" applyFont="1" applyFill="1" applyBorder="1"/>
    <xf numFmtId="165" fontId="2" fillId="0" borderId="0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1" fillId="0" borderId="0" xfId="0" applyFont="1"/>
    <xf numFmtId="2" fontId="2" fillId="0" borderId="12" xfId="1" applyNumberFormat="1" applyFont="1" applyFill="1" applyBorder="1" applyAlignment="1">
      <alignment horizontal="center" vertical="center" wrapText="1"/>
    </xf>
    <xf numFmtId="165" fontId="2" fillId="0" borderId="51" xfId="1" applyNumberFormat="1" applyFont="1" applyFill="1" applyBorder="1" applyAlignment="1">
      <alignment horizontal="center" vertical="center" wrapText="1"/>
    </xf>
    <xf numFmtId="165" fontId="2" fillId="0" borderId="15" xfId="1" applyNumberFormat="1" applyFont="1" applyFill="1" applyBorder="1" applyAlignment="1">
      <alignment horizontal="center" vertical="center" wrapText="1"/>
    </xf>
    <xf numFmtId="169" fontId="2" fillId="0" borderId="13" xfId="1" applyNumberFormat="1" applyFont="1" applyFill="1" applyBorder="1" applyAlignment="1">
      <alignment horizontal="center" vertical="center" wrapText="1"/>
    </xf>
    <xf numFmtId="166" fontId="22" fillId="0" borderId="0" xfId="1" applyNumberFormat="1" applyFont="1" applyFill="1"/>
    <xf numFmtId="0" fontId="22" fillId="0" borderId="0" xfId="1" applyFont="1" applyFill="1"/>
    <xf numFmtId="0" fontId="2" fillId="0" borderId="28" xfId="1" applyFont="1" applyFill="1" applyBorder="1"/>
    <xf numFmtId="166" fontId="2" fillId="5" borderId="15" xfId="1" applyNumberFormat="1" applyFont="1" applyFill="1" applyBorder="1" applyAlignment="1">
      <alignment horizontal="center"/>
    </xf>
    <xf numFmtId="0" fontId="5" fillId="0" borderId="3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2" fontId="2" fillId="0" borderId="13" xfId="1" applyNumberFormat="1" applyFont="1" applyFill="1" applyBorder="1" applyAlignment="1">
      <alignment horizontal="center" vertical="center" wrapText="1"/>
    </xf>
    <xf numFmtId="2" fontId="2" fillId="0" borderId="43" xfId="1" applyNumberFormat="1" applyFont="1" applyFill="1" applyBorder="1" applyAlignment="1">
      <alignment horizontal="center" vertical="center" wrapText="1"/>
    </xf>
    <xf numFmtId="2" fontId="5" fillId="0" borderId="15" xfId="1" applyNumberFormat="1" applyFont="1" applyFill="1" applyBorder="1" applyAlignment="1">
      <alignment horizontal="center"/>
    </xf>
    <xf numFmtId="2" fontId="5" fillId="5" borderId="20" xfId="1" applyNumberFormat="1" applyFont="1" applyFill="1" applyBorder="1" applyAlignment="1">
      <alignment horizontal="center" vertical="center" wrapText="1"/>
    </xf>
    <xf numFmtId="2" fontId="5" fillId="5" borderId="22" xfId="1" applyNumberFormat="1" applyFont="1" applyFill="1" applyBorder="1" applyAlignment="1">
      <alignment horizontal="center" vertical="center" wrapText="1"/>
    </xf>
    <xf numFmtId="2" fontId="5" fillId="5" borderId="15" xfId="1" applyNumberFormat="1" applyFont="1" applyFill="1" applyBorder="1"/>
    <xf numFmtId="0" fontId="24" fillId="0" borderId="0" xfId="0" applyFont="1"/>
    <xf numFmtId="169" fontId="0" fillId="5" borderId="0" xfId="0" applyNumberFormat="1" applyFill="1"/>
    <xf numFmtId="2" fontId="0" fillId="4" borderId="0" xfId="0" applyNumberFormat="1" applyFill="1"/>
    <xf numFmtId="0" fontId="23" fillId="0" borderId="0" xfId="0" applyFont="1"/>
    <xf numFmtId="165" fontId="0" fillId="0" borderId="15" xfId="0" applyNumberFormat="1" applyBorder="1"/>
    <xf numFmtId="0" fontId="25" fillId="0" borderId="15" xfId="0" applyFont="1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28" fillId="0" borderId="0" xfId="0" applyFont="1"/>
    <xf numFmtId="0" fontId="29" fillId="0" borderId="15" xfId="0" applyFont="1" applyBorder="1"/>
    <xf numFmtId="0" fontId="0" fillId="0" borderId="14" xfId="0" applyBorder="1"/>
    <xf numFmtId="0" fontId="0" fillId="0" borderId="11" xfId="0" applyBorder="1" applyAlignment="1">
      <alignment horizontal="center" wrapText="1"/>
    </xf>
    <xf numFmtId="0" fontId="30" fillId="0" borderId="12" xfId="0" applyFont="1" applyBorder="1" applyAlignment="1">
      <alignment horizontal="center" wrapText="1"/>
    </xf>
    <xf numFmtId="4" fontId="0" fillId="0" borderId="15" xfId="0" applyNumberFormat="1" applyBorder="1" applyAlignment="1">
      <alignment horizontal="center"/>
    </xf>
    <xf numFmtId="4" fontId="23" fillId="0" borderId="30" xfId="0" applyNumberFormat="1" applyFont="1" applyBorder="1" applyAlignment="1">
      <alignment horizontal="center"/>
    </xf>
    <xf numFmtId="4" fontId="0" fillId="0" borderId="30" xfId="0" applyNumberFormat="1" applyFont="1" applyBorder="1" applyAlignment="1">
      <alignment horizontal="center"/>
    </xf>
    <xf numFmtId="4" fontId="27" fillId="0" borderId="52" xfId="0" applyNumberFormat="1" applyFont="1" applyBorder="1" applyAlignment="1">
      <alignment horizontal="center"/>
    </xf>
    <xf numFmtId="4" fontId="23" fillId="0" borderId="15" xfId="0" applyNumberFormat="1" applyFont="1" applyBorder="1" applyAlignment="1">
      <alignment horizontal="center"/>
    </xf>
    <xf numFmtId="4" fontId="23" fillId="0" borderId="20" xfId="0" applyNumberFormat="1" applyFont="1" applyBorder="1" applyAlignment="1">
      <alignment horizontal="center"/>
    </xf>
    <xf numFmtId="0" fontId="2" fillId="0" borderId="11" xfId="1" applyFont="1" applyFill="1" applyBorder="1" applyAlignment="1">
      <alignment horizontal="left" vertical="center" wrapText="1"/>
    </xf>
    <xf numFmtId="2" fontId="29" fillId="0" borderId="15" xfId="0" applyNumberFormat="1" applyFont="1" applyBorder="1"/>
    <xf numFmtId="0" fontId="31" fillId="0" borderId="0" xfId="0" applyFont="1" applyAlignment="1">
      <alignment horizontal="justify"/>
    </xf>
    <xf numFmtId="0" fontId="31" fillId="0" borderId="0" xfId="0" applyFont="1" applyAlignment="1">
      <alignment horizontal="left"/>
    </xf>
    <xf numFmtId="0" fontId="2" fillId="5" borderId="15" xfId="1" applyFont="1" applyFill="1" applyBorder="1"/>
    <xf numFmtId="0" fontId="2" fillId="0" borderId="15" xfId="1" applyFont="1" applyFill="1" applyBorder="1" applyAlignment="1">
      <alignment wrapText="1"/>
    </xf>
    <xf numFmtId="0" fontId="2" fillId="0" borderId="0" xfId="1" applyFont="1" applyFill="1" applyAlignment="1">
      <alignment horizontal="center"/>
    </xf>
    <xf numFmtId="0" fontId="5" fillId="0" borderId="15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1" fillId="0" borderId="0" xfId="0" applyFont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5" borderId="15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Protection="1"/>
    <xf numFmtId="0" fontId="17" fillId="0" borderId="0" xfId="0" applyFont="1" applyBorder="1"/>
    <xf numFmtId="0" fontId="19" fillId="0" borderId="0" xfId="0" applyFont="1" applyBorder="1"/>
    <xf numFmtId="0" fontId="2" fillId="0" borderId="0" xfId="1" applyFont="1" applyFill="1" applyAlignment="1">
      <alignment horizontal="center"/>
    </xf>
    <xf numFmtId="0" fontId="2" fillId="0" borderId="16" xfId="1" applyFont="1" applyFill="1" applyBorder="1" applyAlignment="1">
      <alignment wrapText="1"/>
    </xf>
    <xf numFmtId="0" fontId="2" fillId="0" borderId="16" xfId="1" applyFont="1" applyFill="1" applyBorder="1" applyAlignment="1"/>
    <xf numFmtId="0" fontId="2" fillId="0" borderId="15" xfId="1" applyFont="1" applyFill="1" applyBorder="1" applyAlignment="1"/>
    <xf numFmtId="0" fontId="2" fillId="0" borderId="0" xfId="1" applyFont="1" applyFill="1" applyBorder="1" applyAlignment="1">
      <alignment wrapText="1"/>
    </xf>
    <xf numFmtId="2" fontId="2" fillId="0" borderId="0" xfId="1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3" fontId="2" fillId="0" borderId="0" xfId="3" applyFont="1" applyFill="1" applyBorder="1" applyAlignment="1">
      <alignment horizontal="center"/>
    </xf>
    <xf numFmtId="43" fontId="2" fillId="0" borderId="0" xfId="1" applyNumberFormat="1" applyFont="1" applyFill="1" applyBorder="1"/>
    <xf numFmtId="2" fontId="0" fillId="5" borderId="0" xfId="0" applyNumberFormat="1" applyFill="1"/>
    <xf numFmtId="2" fontId="34" fillId="0" borderId="15" xfId="0" applyNumberFormat="1" applyFont="1" applyBorder="1" applyAlignment="1">
      <alignment horizontal="center"/>
    </xf>
    <xf numFmtId="2" fontId="35" fillId="0" borderId="15" xfId="0" applyNumberFormat="1" applyFont="1" applyBorder="1" applyAlignment="1">
      <alignment horizontal="center"/>
    </xf>
    <xf numFmtId="0" fontId="31" fillId="0" borderId="0" xfId="0" applyFont="1" applyAlignment="1">
      <alignment horizontal="left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2" fillId="0" borderId="0" xfId="0" applyFont="1" applyAlignment="1">
      <alignment horizontal="left" wrapText="1"/>
    </xf>
    <xf numFmtId="0" fontId="31" fillId="0" borderId="0" xfId="0" applyFont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wrapText="1"/>
    </xf>
    <xf numFmtId="2" fontId="2" fillId="0" borderId="15" xfId="1" applyNumberFormat="1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" fillId="0" borderId="0" xfId="1" applyFont="1" applyFill="1" applyAlignment="1">
      <alignment horizontal="center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2" fontId="5" fillId="0" borderId="15" xfId="1" applyNumberFormat="1" applyFont="1" applyFill="1" applyBorder="1" applyAlignment="1">
      <alignment horizontal="center"/>
    </xf>
    <xf numFmtId="0" fontId="2" fillId="0" borderId="53" xfId="1" applyFont="1" applyFill="1" applyBorder="1" applyAlignment="1">
      <alignment horizontal="left" wrapText="1"/>
    </xf>
    <xf numFmtId="0" fontId="2" fillId="0" borderId="47" xfId="1" applyFont="1" applyFill="1" applyBorder="1" applyAlignment="1">
      <alignment horizontal="left" wrapText="1"/>
    </xf>
    <xf numFmtId="0" fontId="2" fillId="0" borderId="16" xfId="1" applyFont="1" applyFill="1" applyBorder="1" applyAlignment="1">
      <alignment horizontal="left" wrapText="1"/>
    </xf>
    <xf numFmtId="0" fontId="0" fillId="0" borderId="38" xfId="0" applyBorder="1" applyAlignment="1">
      <alignment horizontal="center"/>
    </xf>
    <xf numFmtId="4" fontId="26" fillId="0" borderId="15" xfId="0" applyNumberFormat="1" applyFont="1" applyBorder="1" applyAlignment="1">
      <alignment horizontal="center" wrapText="1"/>
    </xf>
    <xf numFmtId="4" fontId="26" fillId="0" borderId="43" xfId="0" applyNumberFormat="1" applyFont="1" applyBorder="1" applyAlignment="1">
      <alignment horizontal="center" wrapText="1"/>
    </xf>
    <xf numFmtId="4" fontId="27" fillId="0" borderId="15" xfId="0" applyNumberFormat="1" applyFont="1" applyBorder="1" applyAlignment="1">
      <alignment horizontal="center" wrapText="1"/>
    </xf>
    <xf numFmtId="4" fontId="27" fillId="0" borderId="43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2" fontId="29" fillId="0" borderId="15" xfId="0" applyNumberFormat="1" applyFont="1" applyBorder="1" applyAlignment="1">
      <alignment horizontal="center"/>
    </xf>
    <xf numFmtId="0" fontId="29" fillId="0" borderId="32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30" fillId="0" borderId="43" xfId="0" applyFont="1" applyBorder="1" applyAlignment="1">
      <alignment horizontal="center" wrapText="1"/>
    </xf>
    <xf numFmtId="2" fontId="28" fillId="0" borderId="15" xfId="0" applyNumberFormat="1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29" fillId="0" borderId="15" xfId="0" applyFont="1" applyBorder="1" applyAlignment="1">
      <alignment horizontal="center"/>
    </xf>
    <xf numFmtId="0" fontId="0" fillId="0" borderId="32" xfId="0" applyBorder="1" applyAlignment="1">
      <alignment horizontal="center"/>
    </xf>
    <xf numFmtId="169" fontId="0" fillId="0" borderId="15" xfId="0" applyNumberForma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/>
    </xf>
    <xf numFmtId="0" fontId="2" fillId="0" borderId="4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0" fillId="0" borderId="15" xfId="0" applyBorder="1" applyAlignment="1">
      <alignment horizontal="right"/>
    </xf>
    <xf numFmtId="0" fontId="26" fillId="0" borderId="0" xfId="0" applyFont="1" applyAlignment="1">
      <alignment horizontal="center" wrapText="1"/>
    </xf>
    <xf numFmtId="0" fontId="26" fillId="0" borderId="28" xfId="0" applyFont="1" applyBorder="1" applyAlignment="1">
      <alignment horizontal="center" wrapText="1"/>
    </xf>
  </cellXfs>
  <cellStyles count="4">
    <cellStyle name="Обычный" xfId="0" builtinId="0"/>
    <cellStyle name="Обычный_LAZOVS~1" xfId="1"/>
    <cellStyle name="Обычный_г. Дальнегорск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104</xdr:row>
      <xdr:rowOff>105834</xdr:rowOff>
    </xdr:from>
    <xdr:to>
      <xdr:col>8</xdr:col>
      <xdr:colOff>10584</xdr:colOff>
      <xdr:row>107</xdr:row>
      <xdr:rowOff>89959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91667" y="12520084"/>
          <a:ext cx="666750" cy="4921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0</xdr:colOff>
      <xdr:row>108</xdr:row>
      <xdr:rowOff>0</xdr:rowOff>
    </xdr:from>
    <xdr:to>
      <xdr:col>10</xdr:col>
      <xdr:colOff>123825</xdr:colOff>
      <xdr:row>109</xdr:row>
      <xdr:rowOff>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24917" y="13081000"/>
          <a:ext cx="2790825" cy="1905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666750</xdr:colOff>
      <xdr:row>27</xdr:row>
      <xdr:rowOff>105834</xdr:rowOff>
    </xdr:from>
    <xdr:to>
      <xdr:col>8</xdr:col>
      <xdr:colOff>10584</xdr:colOff>
      <xdr:row>30</xdr:row>
      <xdr:rowOff>89959</xdr:rowOff>
    </xdr:to>
    <xdr:pic>
      <xdr:nvPicPr>
        <xdr:cNvPr id="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91667" y="12520084"/>
          <a:ext cx="666750" cy="4921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0</xdr:colOff>
      <xdr:row>31</xdr:row>
      <xdr:rowOff>0</xdr:rowOff>
    </xdr:from>
    <xdr:to>
      <xdr:col>10</xdr:col>
      <xdr:colOff>123825</xdr:colOff>
      <xdr:row>32</xdr:row>
      <xdr:rowOff>0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24917" y="13081000"/>
          <a:ext cx="2790825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62"/>
  <sheetViews>
    <sheetView view="pageBreakPreview" topLeftCell="B1" zoomScale="90" zoomScaleSheetLayoutView="90" workbookViewId="0">
      <selection activeCell="B1" sqref="B1:AK79"/>
    </sheetView>
  </sheetViews>
  <sheetFormatPr defaultRowHeight="13.2"/>
  <cols>
    <col min="1" max="1" width="7.5546875" style="1" hidden="1" customWidth="1"/>
    <col min="2" max="2" width="19.5546875" style="2" customWidth="1"/>
    <col min="3" max="3" width="10.6640625" style="2" customWidth="1"/>
    <col min="4" max="4" width="14.109375" style="3" customWidth="1"/>
    <col min="5" max="5" width="11.88671875" style="2" customWidth="1"/>
    <col min="6" max="6" width="13.109375" style="2" customWidth="1"/>
    <col min="7" max="7" width="10.33203125" style="2" customWidth="1"/>
    <col min="8" max="8" width="9.5546875" style="2" customWidth="1"/>
    <col min="9" max="9" width="13.6640625" style="2" customWidth="1"/>
    <col min="10" max="10" width="6.5546875" style="2" customWidth="1"/>
    <col min="11" max="11" width="5.6640625" style="2" customWidth="1"/>
    <col min="12" max="12" width="13.6640625" style="2" customWidth="1"/>
    <col min="13" max="13" width="5.5546875" style="2" customWidth="1"/>
    <col min="14" max="14" width="6.109375" style="2" customWidth="1"/>
    <col min="15" max="15" width="10.109375" style="2" customWidth="1"/>
    <col min="16" max="17" width="9.109375" style="2" hidden="1" customWidth="1"/>
    <col min="18" max="19" width="10" style="2" hidden="1" customWidth="1"/>
    <col min="20" max="24" width="9.109375" style="2" hidden="1" customWidth="1"/>
    <col min="25" max="26" width="10" style="2" hidden="1" customWidth="1"/>
    <col min="27" max="36" width="9.109375" style="2" hidden="1" customWidth="1"/>
    <col min="37" max="38" width="9.109375" style="2"/>
    <col min="39" max="39" width="13.33203125" style="2" customWidth="1"/>
    <col min="40" max="256" width="9.109375" style="2"/>
    <col min="257" max="257" width="0" style="2" hidden="1" customWidth="1"/>
    <col min="258" max="258" width="17.109375" style="2" customWidth="1"/>
    <col min="259" max="259" width="10.6640625" style="2" customWidth="1"/>
    <col min="260" max="260" width="12.88671875" style="2" customWidth="1"/>
    <col min="261" max="261" width="9.88671875" style="2" customWidth="1"/>
    <col min="262" max="262" width="13.109375" style="2" customWidth="1"/>
    <col min="263" max="263" width="10.33203125" style="2" customWidth="1"/>
    <col min="264" max="264" width="9.5546875" style="2" customWidth="1"/>
    <col min="265" max="265" width="12.109375" style="2" customWidth="1"/>
    <col min="266" max="266" width="6.5546875" style="2" customWidth="1"/>
    <col min="267" max="267" width="5.6640625" style="2" customWidth="1"/>
    <col min="268" max="268" width="11.88671875" style="2" customWidth="1"/>
    <col min="269" max="269" width="5" style="2" customWidth="1"/>
    <col min="270" max="270" width="6.109375" style="2" customWidth="1"/>
    <col min="271" max="271" width="10.109375" style="2" customWidth="1"/>
    <col min="272" max="292" width="0" style="2" hidden="1" customWidth="1"/>
    <col min="293" max="512" width="9.109375" style="2"/>
    <col min="513" max="513" width="0" style="2" hidden="1" customWidth="1"/>
    <col min="514" max="514" width="17.109375" style="2" customWidth="1"/>
    <col min="515" max="515" width="10.6640625" style="2" customWidth="1"/>
    <col min="516" max="516" width="12.88671875" style="2" customWidth="1"/>
    <col min="517" max="517" width="9.88671875" style="2" customWidth="1"/>
    <col min="518" max="518" width="13.109375" style="2" customWidth="1"/>
    <col min="519" max="519" width="10.33203125" style="2" customWidth="1"/>
    <col min="520" max="520" width="9.5546875" style="2" customWidth="1"/>
    <col min="521" max="521" width="12.109375" style="2" customWidth="1"/>
    <col min="522" max="522" width="6.5546875" style="2" customWidth="1"/>
    <col min="523" max="523" width="5.6640625" style="2" customWidth="1"/>
    <col min="524" max="524" width="11.88671875" style="2" customWidth="1"/>
    <col min="525" max="525" width="5" style="2" customWidth="1"/>
    <col min="526" max="526" width="6.109375" style="2" customWidth="1"/>
    <col min="527" max="527" width="10.109375" style="2" customWidth="1"/>
    <col min="528" max="548" width="0" style="2" hidden="1" customWidth="1"/>
    <col min="549" max="768" width="9.109375" style="2"/>
    <col min="769" max="769" width="0" style="2" hidden="1" customWidth="1"/>
    <col min="770" max="770" width="17.109375" style="2" customWidth="1"/>
    <col min="771" max="771" width="10.6640625" style="2" customWidth="1"/>
    <col min="772" max="772" width="12.88671875" style="2" customWidth="1"/>
    <col min="773" max="773" width="9.88671875" style="2" customWidth="1"/>
    <col min="774" max="774" width="13.109375" style="2" customWidth="1"/>
    <col min="775" max="775" width="10.33203125" style="2" customWidth="1"/>
    <col min="776" max="776" width="9.5546875" style="2" customWidth="1"/>
    <col min="777" max="777" width="12.109375" style="2" customWidth="1"/>
    <col min="778" max="778" width="6.5546875" style="2" customWidth="1"/>
    <col min="779" max="779" width="5.6640625" style="2" customWidth="1"/>
    <col min="780" max="780" width="11.88671875" style="2" customWidth="1"/>
    <col min="781" max="781" width="5" style="2" customWidth="1"/>
    <col min="782" max="782" width="6.109375" style="2" customWidth="1"/>
    <col min="783" max="783" width="10.109375" style="2" customWidth="1"/>
    <col min="784" max="804" width="0" style="2" hidden="1" customWidth="1"/>
    <col min="805" max="1024" width="9.109375" style="2"/>
    <col min="1025" max="1025" width="0" style="2" hidden="1" customWidth="1"/>
    <col min="1026" max="1026" width="17.109375" style="2" customWidth="1"/>
    <col min="1027" max="1027" width="10.6640625" style="2" customWidth="1"/>
    <col min="1028" max="1028" width="12.88671875" style="2" customWidth="1"/>
    <col min="1029" max="1029" width="9.88671875" style="2" customWidth="1"/>
    <col min="1030" max="1030" width="13.109375" style="2" customWidth="1"/>
    <col min="1031" max="1031" width="10.33203125" style="2" customWidth="1"/>
    <col min="1032" max="1032" width="9.5546875" style="2" customWidth="1"/>
    <col min="1033" max="1033" width="12.109375" style="2" customWidth="1"/>
    <col min="1034" max="1034" width="6.5546875" style="2" customWidth="1"/>
    <col min="1035" max="1035" width="5.6640625" style="2" customWidth="1"/>
    <col min="1036" max="1036" width="11.88671875" style="2" customWidth="1"/>
    <col min="1037" max="1037" width="5" style="2" customWidth="1"/>
    <col min="1038" max="1038" width="6.109375" style="2" customWidth="1"/>
    <col min="1039" max="1039" width="10.109375" style="2" customWidth="1"/>
    <col min="1040" max="1060" width="0" style="2" hidden="1" customWidth="1"/>
    <col min="1061" max="1280" width="9.109375" style="2"/>
    <col min="1281" max="1281" width="0" style="2" hidden="1" customWidth="1"/>
    <col min="1282" max="1282" width="17.109375" style="2" customWidth="1"/>
    <col min="1283" max="1283" width="10.6640625" style="2" customWidth="1"/>
    <col min="1284" max="1284" width="12.88671875" style="2" customWidth="1"/>
    <col min="1285" max="1285" width="9.88671875" style="2" customWidth="1"/>
    <col min="1286" max="1286" width="13.109375" style="2" customWidth="1"/>
    <col min="1287" max="1287" width="10.33203125" style="2" customWidth="1"/>
    <col min="1288" max="1288" width="9.5546875" style="2" customWidth="1"/>
    <col min="1289" max="1289" width="12.109375" style="2" customWidth="1"/>
    <col min="1290" max="1290" width="6.5546875" style="2" customWidth="1"/>
    <col min="1291" max="1291" width="5.6640625" style="2" customWidth="1"/>
    <col min="1292" max="1292" width="11.88671875" style="2" customWidth="1"/>
    <col min="1293" max="1293" width="5" style="2" customWidth="1"/>
    <col min="1294" max="1294" width="6.109375" style="2" customWidth="1"/>
    <col min="1295" max="1295" width="10.109375" style="2" customWidth="1"/>
    <col min="1296" max="1316" width="0" style="2" hidden="1" customWidth="1"/>
    <col min="1317" max="1536" width="9.109375" style="2"/>
    <col min="1537" max="1537" width="0" style="2" hidden="1" customWidth="1"/>
    <col min="1538" max="1538" width="17.109375" style="2" customWidth="1"/>
    <col min="1539" max="1539" width="10.6640625" style="2" customWidth="1"/>
    <col min="1540" max="1540" width="12.88671875" style="2" customWidth="1"/>
    <col min="1541" max="1541" width="9.88671875" style="2" customWidth="1"/>
    <col min="1542" max="1542" width="13.109375" style="2" customWidth="1"/>
    <col min="1543" max="1543" width="10.33203125" style="2" customWidth="1"/>
    <col min="1544" max="1544" width="9.5546875" style="2" customWidth="1"/>
    <col min="1545" max="1545" width="12.109375" style="2" customWidth="1"/>
    <col min="1546" max="1546" width="6.5546875" style="2" customWidth="1"/>
    <col min="1547" max="1547" width="5.6640625" style="2" customWidth="1"/>
    <col min="1548" max="1548" width="11.88671875" style="2" customWidth="1"/>
    <col min="1549" max="1549" width="5" style="2" customWidth="1"/>
    <col min="1550" max="1550" width="6.109375" style="2" customWidth="1"/>
    <col min="1551" max="1551" width="10.109375" style="2" customWidth="1"/>
    <col min="1552" max="1572" width="0" style="2" hidden="1" customWidth="1"/>
    <col min="1573" max="1792" width="9.109375" style="2"/>
    <col min="1793" max="1793" width="0" style="2" hidden="1" customWidth="1"/>
    <col min="1794" max="1794" width="17.109375" style="2" customWidth="1"/>
    <col min="1795" max="1795" width="10.6640625" style="2" customWidth="1"/>
    <col min="1796" max="1796" width="12.88671875" style="2" customWidth="1"/>
    <col min="1797" max="1797" width="9.88671875" style="2" customWidth="1"/>
    <col min="1798" max="1798" width="13.109375" style="2" customWidth="1"/>
    <col min="1799" max="1799" width="10.33203125" style="2" customWidth="1"/>
    <col min="1800" max="1800" width="9.5546875" style="2" customWidth="1"/>
    <col min="1801" max="1801" width="12.109375" style="2" customWidth="1"/>
    <col min="1802" max="1802" width="6.5546875" style="2" customWidth="1"/>
    <col min="1803" max="1803" width="5.6640625" style="2" customWidth="1"/>
    <col min="1804" max="1804" width="11.88671875" style="2" customWidth="1"/>
    <col min="1805" max="1805" width="5" style="2" customWidth="1"/>
    <col min="1806" max="1806" width="6.109375" style="2" customWidth="1"/>
    <col min="1807" max="1807" width="10.109375" style="2" customWidth="1"/>
    <col min="1808" max="1828" width="0" style="2" hidden="1" customWidth="1"/>
    <col min="1829" max="2048" width="9.109375" style="2"/>
    <col min="2049" max="2049" width="0" style="2" hidden="1" customWidth="1"/>
    <col min="2050" max="2050" width="17.109375" style="2" customWidth="1"/>
    <col min="2051" max="2051" width="10.6640625" style="2" customWidth="1"/>
    <col min="2052" max="2052" width="12.88671875" style="2" customWidth="1"/>
    <col min="2053" max="2053" width="9.88671875" style="2" customWidth="1"/>
    <col min="2054" max="2054" width="13.109375" style="2" customWidth="1"/>
    <col min="2055" max="2055" width="10.33203125" style="2" customWidth="1"/>
    <col min="2056" max="2056" width="9.5546875" style="2" customWidth="1"/>
    <col min="2057" max="2057" width="12.109375" style="2" customWidth="1"/>
    <col min="2058" max="2058" width="6.5546875" style="2" customWidth="1"/>
    <col min="2059" max="2059" width="5.6640625" style="2" customWidth="1"/>
    <col min="2060" max="2060" width="11.88671875" style="2" customWidth="1"/>
    <col min="2061" max="2061" width="5" style="2" customWidth="1"/>
    <col min="2062" max="2062" width="6.109375" style="2" customWidth="1"/>
    <col min="2063" max="2063" width="10.109375" style="2" customWidth="1"/>
    <col min="2064" max="2084" width="0" style="2" hidden="1" customWidth="1"/>
    <col min="2085" max="2304" width="9.109375" style="2"/>
    <col min="2305" max="2305" width="0" style="2" hidden="1" customWidth="1"/>
    <col min="2306" max="2306" width="17.109375" style="2" customWidth="1"/>
    <col min="2307" max="2307" width="10.6640625" style="2" customWidth="1"/>
    <col min="2308" max="2308" width="12.88671875" style="2" customWidth="1"/>
    <col min="2309" max="2309" width="9.88671875" style="2" customWidth="1"/>
    <col min="2310" max="2310" width="13.109375" style="2" customWidth="1"/>
    <col min="2311" max="2311" width="10.33203125" style="2" customWidth="1"/>
    <col min="2312" max="2312" width="9.5546875" style="2" customWidth="1"/>
    <col min="2313" max="2313" width="12.109375" style="2" customWidth="1"/>
    <col min="2314" max="2314" width="6.5546875" style="2" customWidth="1"/>
    <col min="2315" max="2315" width="5.6640625" style="2" customWidth="1"/>
    <col min="2316" max="2316" width="11.88671875" style="2" customWidth="1"/>
    <col min="2317" max="2317" width="5" style="2" customWidth="1"/>
    <col min="2318" max="2318" width="6.109375" style="2" customWidth="1"/>
    <col min="2319" max="2319" width="10.109375" style="2" customWidth="1"/>
    <col min="2320" max="2340" width="0" style="2" hidden="1" customWidth="1"/>
    <col min="2341" max="2560" width="9.109375" style="2"/>
    <col min="2561" max="2561" width="0" style="2" hidden="1" customWidth="1"/>
    <col min="2562" max="2562" width="17.109375" style="2" customWidth="1"/>
    <col min="2563" max="2563" width="10.6640625" style="2" customWidth="1"/>
    <col min="2564" max="2564" width="12.88671875" style="2" customWidth="1"/>
    <col min="2565" max="2565" width="9.88671875" style="2" customWidth="1"/>
    <col min="2566" max="2566" width="13.109375" style="2" customWidth="1"/>
    <col min="2567" max="2567" width="10.33203125" style="2" customWidth="1"/>
    <col min="2568" max="2568" width="9.5546875" style="2" customWidth="1"/>
    <col min="2569" max="2569" width="12.109375" style="2" customWidth="1"/>
    <col min="2570" max="2570" width="6.5546875" style="2" customWidth="1"/>
    <col min="2571" max="2571" width="5.6640625" style="2" customWidth="1"/>
    <col min="2572" max="2572" width="11.88671875" style="2" customWidth="1"/>
    <col min="2573" max="2573" width="5" style="2" customWidth="1"/>
    <col min="2574" max="2574" width="6.109375" style="2" customWidth="1"/>
    <col min="2575" max="2575" width="10.109375" style="2" customWidth="1"/>
    <col min="2576" max="2596" width="0" style="2" hidden="1" customWidth="1"/>
    <col min="2597" max="2816" width="9.109375" style="2"/>
    <col min="2817" max="2817" width="0" style="2" hidden="1" customWidth="1"/>
    <col min="2818" max="2818" width="17.109375" style="2" customWidth="1"/>
    <col min="2819" max="2819" width="10.6640625" style="2" customWidth="1"/>
    <col min="2820" max="2820" width="12.88671875" style="2" customWidth="1"/>
    <col min="2821" max="2821" width="9.88671875" style="2" customWidth="1"/>
    <col min="2822" max="2822" width="13.109375" style="2" customWidth="1"/>
    <col min="2823" max="2823" width="10.33203125" style="2" customWidth="1"/>
    <col min="2824" max="2824" width="9.5546875" style="2" customWidth="1"/>
    <col min="2825" max="2825" width="12.109375" style="2" customWidth="1"/>
    <col min="2826" max="2826" width="6.5546875" style="2" customWidth="1"/>
    <col min="2827" max="2827" width="5.6640625" style="2" customWidth="1"/>
    <col min="2828" max="2828" width="11.88671875" style="2" customWidth="1"/>
    <col min="2829" max="2829" width="5" style="2" customWidth="1"/>
    <col min="2830" max="2830" width="6.109375" style="2" customWidth="1"/>
    <col min="2831" max="2831" width="10.109375" style="2" customWidth="1"/>
    <col min="2832" max="2852" width="0" style="2" hidden="1" customWidth="1"/>
    <col min="2853" max="3072" width="9.109375" style="2"/>
    <col min="3073" max="3073" width="0" style="2" hidden="1" customWidth="1"/>
    <col min="3074" max="3074" width="17.109375" style="2" customWidth="1"/>
    <col min="3075" max="3075" width="10.6640625" style="2" customWidth="1"/>
    <col min="3076" max="3076" width="12.88671875" style="2" customWidth="1"/>
    <col min="3077" max="3077" width="9.88671875" style="2" customWidth="1"/>
    <col min="3078" max="3078" width="13.109375" style="2" customWidth="1"/>
    <col min="3079" max="3079" width="10.33203125" style="2" customWidth="1"/>
    <col min="3080" max="3080" width="9.5546875" style="2" customWidth="1"/>
    <col min="3081" max="3081" width="12.109375" style="2" customWidth="1"/>
    <col min="3082" max="3082" width="6.5546875" style="2" customWidth="1"/>
    <col min="3083" max="3083" width="5.6640625" style="2" customWidth="1"/>
    <col min="3084" max="3084" width="11.88671875" style="2" customWidth="1"/>
    <col min="3085" max="3085" width="5" style="2" customWidth="1"/>
    <col min="3086" max="3086" width="6.109375" style="2" customWidth="1"/>
    <col min="3087" max="3087" width="10.109375" style="2" customWidth="1"/>
    <col min="3088" max="3108" width="0" style="2" hidden="1" customWidth="1"/>
    <col min="3109" max="3328" width="9.109375" style="2"/>
    <col min="3329" max="3329" width="0" style="2" hidden="1" customWidth="1"/>
    <col min="3330" max="3330" width="17.109375" style="2" customWidth="1"/>
    <col min="3331" max="3331" width="10.6640625" style="2" customWidth="1"/>
    <col min="3332" max="3332" width="12.88671875" style="2" customWidth="1"/>
    <col min="3333" max="3333" width="9.88671875" style="2" customWidth="1"/>
    <col min="3334" max="3334" width="13.109375" style="2" customWidth="1"/>
    <col min="3335" max="3335" width="10.33203125" style="2" customWidth="1"/>
    <col min="3336" max="3336" width="9.5546875" style="2" customWidth="1"/>
    <col min="3337" max="3337" width="12.109375" style="2" customWidth="1"/>
    <col min="3338" max="3338" width="6.5546875" style="2" customWidth="1"/>
    <col min="3339" max="3339" width="5.6640625" style="2" customWidth="1"/>
    <col min="3340" max="3340" width="11.88671875" style="2" customWidth="1"/>
    <col min="3341" max="3341" width="5" style="2" customWidth="1"/>
    <col min="3342" max="3342" width="6.109375" style="2" customWidth="1"/>
    <col min="3343" max="3343" width="10.109375" style="2" customWidth="1"/>
    <col min="3344" max="3364" width="0" style="2" hidden="1" customWidth="1"/>
    <col min="3365" max="3584" width="9.109375" style="2"/>
    <col min="3585" max="3585" width="0" style="2" hidden="1" customWidth="1"/>
    <col min="3586" max="3586" width="17.109375" style="2" customWidth="1"/>
    <col min="3587" max="3587" width="10.6640625" style="2" customWidth="1"/>
    <col min="3588" max="3588" width="12.88671875" style="2" customWidth="1"/>
    <col min="3589" max="3589" width="9.88671875" style="2" customWidth="1"/>
    <col min="3590" max="3590" width="13.109375" style="2" customWidth="1"/>
    <col min="3591" max="3591" width="10.33203125" style="2" customWidth="1"/>
    <col min="3592" max="3592" width="9.5546875" style="2" customWidth="1"/>
    <col min="3593" max="3593" width="12.109375" style="2" customWidth="1"/>
    <col min="3594" max="3594" width="6.5546875" style="2" customWidth="1"/>
    <col min="3595" max="3595" width="5.6640625" style="2" customWidth="1"/>
    <col min="3596" max="3596" width="11.88671875" style="2" customWidth="1"/>
    <col min="3597" max="3597" width="5" style="2" customWidth="1"/>
    <col min="3598" max="3598" width="6.109375" style="2" customWidth="1"/>
    <col min="3599" max="3599" width="10.109375" style="2" customWidth="1"/>
    <col min="3600" max="3620" width="0" style="2" hidden="1" customWidth="1"/>
    <col min="3621" max="3840" width="9.109375" style="2"/>
    <col min="3841" max="3841" width="0" style="2" hidden="1" customWidth="1"/>
    <col min="3842" max="3842" width="17.109375" style="2" customWidth="1"/>
    <col min="3843" max="3843" width="10.6640625" style="2" customWidth="1"/>
    <col min="3844" max="3844" width="12.88671875" style="2" customWidth="1"/>
    <col min="3845" max="3845" width="9.88671875" style="2" customWidth="1"/>
    <col min="3846" max="3846" width="13.109375" style="2" customWidth="1"/>
    <col min="3847" max="3847" width="10.33203125" style="2" customWidth="1"/>
    <col min="3848" max="3848" width="9.5546875" style="2" customWidth="1"/>
    <col min="3849" max="3849" width="12.109375" style="2" customWidth="1"/>
    <col min="3850" max="3850" width="6.5546875" style="2" customWidth="1"/>
    <col min="3851" max="3851" width="5.6640625" style="2" customWidth="1"/>
    <col min="3852" max="3852" width="11.88671875" style="2" customWidth="1"/>
    <col min="3853" max="3853" width="5" style="2" customWidth="1"/>
    <col min="3854" max="3854" width="6.109375" style="2" customWidth="1"/>
    <col min="3855" max="3855" width="10.109375" style="2" customWidth="1"/>
    <col min="3856" max="3876" width="0" style="2" hidden="1" customWidth="1"/>
    <col min="3877" max="4096" width="9.109375" style="2"/>
    <col min="4097" max="4097" width="0" style="2" hidden="1" customWidth="1"/>
    <col min="4098" max="4098" width="17.109375" style="2" customWidth="1"/>
    <col min="4099" max="4099" width="10.6640625" style="2" customWidth="1"/>
    <col min="4100" max="4100" width="12.88671875" style="2" customWidth="1"/>
    <col min="4101" max="4101" width="9.88671875" style="2" customWidth="1"/>
    <col min="4102" max="4102" width="13.109375" style="2" customWidth="1"/>
    <col min="4103" max="4103" width="10.33203125" style="2" customWidth="1"/>
    <col min="4104" max="4104" width="9.5546875" style="2" customWidth="1"/>
    <col min="4105" max="4105" width="12.109375" style="2" customWidth="1"/>
    <col min="4106" max="4106" width="6.5546875" style="2" customWidth="1"/>
    <col min="4107" max="4107" width="5.6640625" style="2" customWidth="1"/>
    <col min="4108" max="4108" width="11.88671875" style="2" customWidth="1"/>
    <col min="4109" max="4109" width="5" style="2" customWidth="1"/>
    <col min="4110" max="4110" width="6.109375" style="2" customWidth="1"/>
    <col min="4111" max="4111" width="10.109375" style="2" customWidth="1"/>
    <col min="4112" max="4132" width="0" style="2" hidden="1" customWidth="1"/>
    <col min="4133" max="4352" width="9.109375" style="2"/>
    <col min="4353" max="4353" width="0" style="2" hidden="1" customWidth="1"/>
    <col min="4354" max="4354" width="17.109375" style="2" customWidth="1"/>
    <col min="4355" max="4355" width="10.6640625" style="2" customWidth="1"/>
    <col min="4356" max="4356" width="12.88671875" style="2" customWidth="1"/>
    <col min="4357" max="4357" width="9.88671875" style="2" customWidth="1"/>
    <col min="4358" max="4358" width="13.109375" style="2" customWidth="1"/>
    <col min="4359" max="4359" width="10.33203125" style="2" customWidth="1"/>
    <col min="4360" max="4360" width="9.5546875" style="2" customWidth="1"/>
    <col min="4361" max="4361" width="12.109375" style="2" customWidth="1"/>
    <col min="4362" max="4362" width="6.5546875" style="2" customWidth="1"/>
    <col min="4363" max="4363" width="5.6640625" style="2" customWidth="1"/>
    <col min="4364" max="4364" width="11.88671875" style="2" customWidth="1"/>
    <col min="4365" max="4365" width="5" style="2" customWidth="1"/>
    <col min="4366" max="4366" width="6.109375" style="2" customWidth="1"/>
    <col min="4367" max="4367" width="10.109375" style="2" customWidth="1"/>
    <col min="4368" max="4388" width="0" style="2" hidden="1" customWidth="1"/>
    <col min="4389" max="4608" width="9.109375" style="2"/>
    <col min="4609" max="4609" width="0" style="2" hidden="1" customWidth="1"/>
    <col min="4610" max="4610" width="17.109375" style="2" customWidth="1"/>
    <col min="4611" max="4611" width="10.6640625" style="2" customWidth="1"/>
    <col min="4612" max="4612" width="12.88671875" style="2" customWidth="1"/>
    <col min="4613" max="4613" width="9.88671875" style="2" customWidth="1"/>
    <col min="4614" max="4614" width="13.109375" style="2" customWidth="1"/>
    <col min="4615" max="4615" width="10.33203125" style="2" customWidth="1"/>
    <col min="4616" max="4616" width="9.5546875" style="2" customWidth="1"/>
    <col min="4617" max="4617" width="12.109375" style="2" customWidth="1"/>
    <col min="4618" max="4618" width="6.5546875" style="2" customWidth="1"/>
    <col min="4619" max="4619" width="5.6640625" style="2" customWidth="1"/>
    <col min="4620" max="4620" width="11.88671875" style="2" customWidth="1"/>
    <col min="4621" max="4621" width="5" style="2" customWidth="1"/>
    <col min="4622" max="4622" width="6.109375" style="2" customWidth="1"/>
    <col min="4623" max="4623" width="10.109375" style="2" customWidth="1"/>
    <col min="4624" max="4644" width="0" style="2" hidden="1" customWidth="1"/>
    <col min="4645" max="4864" width="9.109375" style="2"/>
    <col min="4865" max="4865" width="0" style="2" hidden="1" customWidth="1"/>
    <col min="4866" max="4866" width="17.109375" style="2" customWidth="1"/>
    <col min="4867" max="4867" width="10.6640625" style="2" customWidth="1"/>
    <col min="4868" max="4868" width="12.88671875" style="2" customWidth="1"/>
    <col min="4869" max="4869" width="9.88671875" style="2" customWidth="1"/>
    <col min="4870" max="4870" width="13.109375" style="2" customWidth="1"/>
    <col min="4871" max="4871" width="10.33203125" style="2" customWidth="1"/>
    <col min="4872" max="4872" width="9.5546875" style="2" customWidth="1"/>
    <col min="4873" max="4873" width="12.109375" style="2" customWidth="1"/>
    <col min="4874" max="4874" width="6.5546875" style="2" customWidth="1"/>
    <col min="4875" max="4875" width="5.6640625" style="2" customWidth="1"/>
    <col min="4876" max="4876" width="11.88671875" style="2" customWidth="1"/>
    <col min="4877" max="4877" width="5" style="2" customWidth="1"/>
    <col min="4878" max="4878" width="6.109375" style="2" customWidth="1"/>
    <col min="4879" max="4879" width="10.109375" style="2" customWidth="1"/>
    <col min="4880" max="4900" width="0" style="2" hidden="1" customWidth="1"/>
    <col min="4901" max="5120" width="9.109375" style="2"/>
    <col min="5121" max="5121" width="0" style="2" hidden="1" customWidth="1"/>
    <col min="5122" max="5122" width="17.109375" style="2" customWidth="1"/>
    <col min="5123" max="5123" width="10.6640625" style="2" customWidth="1"/>
    <col min="5124" max="5124" width="12.88671875" style="2" customWidth="1"/>
    <col min="5125" max="5125" width="9.88671875" style="2" customWidth="1"/>
    <col min="5126" max="5126" width="13.109375" style="2" customWidth="1"/>
    <col min="5127" max="5127" width="10.33203125" style="2" customWidth="1"/>
    <col min="5128" max="5128" width="9.5546875" style="2" customWidth="1"/>
    <col min="5129" max="5129" width="12.109375" style="2" customWidth="1"/>
    <col min="5130" max="5130" width="6.5546875" style="2" customWidth="1"/>
    <col min="5131" max="5131" width="5.6640625" style="2" customWidth="1"/>
    <col min="5132" max="5132" width="11.88671875" style="2" customWidth="1"/>
    <col min="5133" max="5133" width="5" style="2" customWidth="1"/>
    <col min="5134" max="5134" width="6.109375" style="2" customWidth="1"/>
    <col min="5135" max="5135" width="10.109375" style="2" customWidth="1"/>
    <col min="5136" max="5156" width="0" style="2" hidden="1" customWidth="1"/>
    <col min="5157" max="5376" width="9.109375" style="2"/>
    <col min="5377" max="5377" width="0" style="2" hidden="1" customWidth="1"/>
    <col min="5378" max="5378" width="17.109375" style="2" customWidth="1"/>
    <col min="5379" max="5379" width="10.6640625" style="2" customWidth="1"/>
    <col min="5380" max="5380" width="12.88671875" style="2" customWidth="1"/>
    <col min="5381" max="5381" width="9.88671875" style="2" customWidth="1"/>
    <col min="5382" max="5382" width="13.109375" style="2" customWidth="1"/>
    <col min="5383" max="5383" width="10.33203125" style="2" customWidth="1"/>
    <col min="5384" max="5384" width="9.5546875" style="2" customWidth="1"/>
    <col min="5385" max="5385" width="12.109375" style="2" customWidth="1"/>
    <col min="5386" max="5386" width="6.5546875" style="2" customWidth="1"/>
    <col min="5387" max="5387" width="5.6640625" style="2" customWidth="1"/>
    <col min="5388" max="5388" width="11.88671875" style="2" customWidth="1"/>
    <col min="5389" max="5389" width="5" style="2" customWidth="1"/>
    <col min="5390" max="5390" width="6.109375" style="2" customWidth="1"/>
    <col min="5391" max="5391" width="10.109375" style="2" customWidth="1"/>
    <col min="5392" max="5412" width="0" style="2" hidden="1" customWidth="1"/>
    <col min="5413" max="5632" width="9.109375" style="2"/>
    <col min="5633" max="5633" width="0" style="2" hidden="1" customWidth="1"/>
    <col min="5634" max="5634" width="17.109375" style="2" customWidth="1"/>
    <col min="5635" max="5635" width="10.6640625" style="2" customWidth="1"/>
    <col min="5636" max="5636" width="12.88671875" style="2" customWidth="1"/>
    <col min="5637" max="5637" width="9.88671875" style="2" customWidth="1"/>
    <col min="5638" max="5638" width="13.109375" style="2" customWidth="1"/>
    <col min="5639" max="5639" width="10.33203125" style="2" customWidth="1"/>
    <col min="5640" max="5640" width="9.5546875" style="2" customWidth="1"/>
    <col min="5641" max="5641" width="12.109375" style="2" customWidth="1"/>
    <col min="5642" max="5642" width="6.5546875" style="2" customWidth="1"/>
    <col min="5643" max="5643" width="5.6640625" style="2" customWidth="1"/>
    <col min="5644" max="5644" width="11.88671875" style="2" customWidth="1"/>
    <col min="5645" max="5645" width="5" style="2" customWidth="1"/>
    <col min="5646" max="5646" width="6.109375" style="2" customWidth="1"/>
    <col min="5647" max="5647" width="10.109375" style="2" customWidth="1"/>
    <col min="5648" max="5668" width="0" style="2" hidden="1" customWidth="1"/>
    <col min="5669" max="5888" width="9.109375" style="2"/>
    <col min="5889" max="5889" width="0" style="2" hidden="1" customWidth="1"/>
    <col min="5890" max="5890" width="17.109375" style="2" customWidth="1"/>
    <col min="5891" max="5891" width="10.6640625" style="2" customWidth="1"/>
    <col min="5892" max="5892" width="12.88671875" style="2" customWidth="1"/>
    <col min="5893" max="5893" width="9.88671875" style="2" customWidth="1"/>
    <col min="5894" max="5894" width="13.109375" style="2" customWidth="1"/>
    <col min="5895" max="5895" width="10.33203125" style="2" customWidth="1"/>
    <col min="5896" max="5896" width="9.5546875" style="2" customWidth="1"/>
    <col min="5897" max="5897" width="12.109375" style="2" customWidth="1"/>
    <col min="5898" max="5898" width="6.5546875" style="2" customWidth="1"/>
    <col min="5899" max="5899" width="5.6640625" style="2" customWidth="1"/>
    <col min="5900" max="5900" width="11.88671875" style="2" customWidth="1"/>
    <col min="5901" max="5901" width="5" style="2" customWidth="1"/>
    <col min="5902" max="5902" width="6.109375" style="2" customWidth="1"/>
    <col min="5903" max="5903" width="10.109375" style="2" customWidth="1"/>
    <col min="5904" max="5924" width="0" style="2" hidden="1" customWidth="1"/>
    <col min="5925" max="6144" width="9.109375" style="2"/>
    <col min="6145" max="6145" width="0" style="2" hidden="1" customWidth="1"/>
    <col min="6146" max="6146" width="17.109375" style="2" customWidth="1"/>
    <col min="6147" max="6147" width="10.6640625" style="2" customWidth="1"/>
    <col min="6148" max="6148" width="12.88671875" style="2" customWidth="1"/>
    <col min="6149" max="6149" width="9.88671875" style="2" customWidth="1"/>
    <col min="6150" max="6150" width="13.109375" style="2" customWidth="1"/>
    <col min="6151" max="6151" width="10.33203125" style="2" customWidth="1"/>
    <col min="6152" max="6152" width="9.5546875" style="2" customWidth="1"/>
    <col min="6153" max="6153" width="12.109375" style="2" customWidth="1"/>
    <col min="6154" max="6154" width="6.5546875" style="2" customWidth="1"/>
    <col min="6155" max="6155" width="5.6640625" style="2" customWidth="1"/>
    <col min="6156" max="6156" width="11.88671875" style="2" customWidth="1"/>
    <col min="6157" max="6157" width="5" style="2" customWidth="1"/>
    <col min="6158" max="6158" width="6.109375" style="2" customWidth="1"/>
    <col min="6159" max="6159" width="10.109375" style="2" customWidth="1"/>
    <col min="6160" max="6180" width="0" style="2" hidden="1" customWidth="1"/>
    <col min="6181" max="6400" width="9.109375" style="2"/>
    <col min="6401" max="6401" width="0" style="2" hidden="1" customWidth="1"/>
    <col min="6402" max="6402" width="17.109375" style="2" customWidth="1"/>
    <col min="6403" max="6403" width="10.6640625" style="2" customWidth="1"/>
    <col min="6404" max="6404" width="12.88671875" style="2" customWidth="1"/>
    <col min="6405" max="6405" width="9.88671875" style="2" customWidth="1"/>
    <col min="6406" max="6406" width="13.109375" style="2" customWidth="1"/>
    <col min="6407" max="6407" width="10.33203125" style="2" customWidth="1"/>
    <col min="6408" max="6408" width="9.5546875" style="2" customWidth="1"/>
    <col min="6409" max="6409" width="12.109375" style="2" customWidth="1"/>
    <col min="6410" max="6410" width="6.5546875" style="2" customWidth="1"/>
    <col min="6411" max="6411" width="5.6640625" style="2" customWidth="1"/>
    <col min="6412" max="6412" width="11.88671875" style="2" customWidth="1"/>
    <col min="6413" max="6413" width="5" style="2" customWidth="1"/>
    <col min="6414" max="6414" width="6.109375" style="2" customWidth="1"/>
    <col min="6415" max="6415" width="10.109375" style="2" customWidth="1"/>
    <col min="6416" max="6436" width="0" style="2" hidden="1" customWidth="1"/>
    <col min="6437" max="6656" width="9.109375" style="2"/>
    <col min="6657" max="6657" width="0" style="2" hidden="1" customWidth="1"/>
    <col min="6658" max="6658" width="17.109375" style="2" customWidth="1"/>
    <col min="6659" max="6659" width="10.6640625" style="2" customWidth="1"/>
    <col min="6660" max="6660" width="12.88671875" style="2" customWidth="1"/>
    <col min="6661" max="6661" width="9.88671875" style="2" customWidth="1"/>
    <col min="6662" max="6662" width="13.109375" style="2" customWidth="1"/>
    <col min="6663" max="6663" width="10.33203125" style="2" customWidth="1"/>
    <col min="6664" max="6664" width="9.5546875" style="2" customWidth="1"/>
    <col min="6665" max="6665" width="12.109375" style="2" customWidth="1"/>
    <col min="6666" max="6666" width="6.5546875" style="2" customWidth="1"/>
    <col min="6667" max="6667" width="5.6640625" style="2" customWidth="1"/>
    <col min="6668" max="6668" width="11.88671875" style="2" customWidth="1"/>
    <col min="6669" max="6669" width="5" style="2" customWidth="1"/>
    <col min="6670" max="6670" width="6.109375" style="2" customWidth="1"/>
    <col min="6671" max="6671" width="10.109375" style="2" customWidth="1"/>
    <col min="6672" max="6692" width="0" style="2" hidden="1" customWidth="1"/>
    <col min="6693" max="6912" width="9.109375" style="2"/>
    <col min="6913" max="6913" width="0" style="2" hidden="1" customWidth="1"/>
    <col min="6914" max="6914" width="17.109375" style="2" customWidth="1"/>
    <col min="6915" max="6915" width="10.6640625" style="2" customWidth="1"/>
    <col min="6916" max="6916" width="12.88671875" style="2" customWidth="1"/>
    <col min="6917" max="6917" width="9.88671875" style="2" customWidth="1"/>
    <col min="6918" max="6918" width="13.109375" style="2" customWidth="1"/>
    <col min="6919" max="6919" width="10.33203125" style="2" customWidth="1"/>
    <col min="6920" max="6920" width="9.5546875" style="2" customWidth="1"/>
    <col min="6921" max="6921" width="12.109375" style="2" customWidth="1"/>
    <col min="6922" max="6922" width="6.5546875" style="2" customWidth="1"/>
    <col min="6923" max="6923" width="5.6640625" style="2" customWidth="1"/>
    <col min="6924" max="6924" width="11.88671875" style="2" customWidth="1"/>
    <col min="6925" max="6925" width="5" style="2" customWidth="1"/>
    <col min="6926" max="6926" width="6.109375" style="2" customWidth="1"/>
    <col min="6927" max="6927" width="10.109375" style="2" customWidth="1"/>
    <col min="6928" max="6948" width="0" style="2" hidden="1" customWidth="1"/>
    <col min="6949" max="7168" width="9.109375" style="2"/>
    <col min="7169" max="7169" width="0" style="2" hidden="1" customWidth="1"/>
    <col min="7170" max="7170" width="17.109375" style="2" customWidth="1"/>
    <col min="7171" max="7171" width="10.6640625" style="2" customWidth="1"/>
    <col min="7172" max="7172" width="12.88671875" style="2" customWidth="1"/>
    <col min="7173" max="7173" width="9.88671875" style="2" customWidth="1"/>
    <col min="7174" max="7174" width="13.109375" style="2" customWidth="1"/>
    <col min="7175" max="7175" width="10.33203125" style="2" customWidth="1"/>
    <col min="7176" max="7176" width="9.5546875" style="2" customWidth="1"/>
    <col min="7177" max="7177" width="12.109375" style="2" customWidth="1"/>
    <col min="7178" max="7178" width="6.5546875" style="2" customWidth="1"/>
    <col min="7179" max="7179" width="5.6640625" style="2" customWidth="1"/>
    <col min="7180" max="7180" width="11.88671875" style="2" customWidth="1"/>
    <col min="7181" max="7181" width="5" style="2" customWidth="1"/>
    <col min="7182" max="7182" width="6.109375" style="2" customWidth="1"/>
    <col min="7183" max="7183" width="10.109375" style="2" customWidth="1"/>
    <col min="7184" max="7204" width="0" style="2" hidden="1" customWidth="1"/>
    <col min="7205" max="7424" width="9.109375" style="2"/>
    <col min="7425" max="7425" width="0" style="2" hidden="1" customWidth="1"/>
    <col min="7426" max="7426" width="17.109375" style="2" customWidth="1"/>
    <col min="7427" max="7427" width="10.6640625" style="2" customWidth="1"/>
    <col min="7428" max="7428" width="12.88671875" style="2" customWidth="1"/>
    <col min="7429" max="7429" width="9.88671875" style="2" customWidth="1"/>
    <col min="7430" max="7430" width="13.109375" style="2" customWidth="1"/>
    <col min="7431" max="7431" width="10.33203125" style="2" customWidth="1"/>
    <col min="7432" max="7432" width="9.5546875" style="2" customWidth="1"/>
    <col min="7433" max="7433" width="12.109375" style="2" customWidth="1"/>
    <col min="7434" max="7434" width="6.5546875" style="2" customWidth="1"/>
    <col min="7435" max="7435" width="5.6640625" style="2" customWidth="1"/>
    <col min="7436" max="7436" width="11.88671875" style="2" customWidth="1"/>
    <col min="7437" max="7437" width="5" style="2" customWidth="1"/>
    <col min="7438" max="7438" width="6.109375" style="2" customWidth="1"/>
    <col min="7439" max="7439" width="10.109375" style="2" customWidth="1"/>
    <col min="7440" max="7460" width="0" style="2" hidden="1" customWidth="1"/>
    <col min="7461" max="7680" width="9.109375" style="2"/>
    <col min="7681" max="7681" width="0" style="2" hidden="1" customWidth="1"/>
    <col min="7682" max="7682" width="17.109375" style="2" customWidth="1"/>
    <col min="7683" max="7683" width="10.6640625" style="2" customWidth="1"/>
    <col min="7684" max="7684" width="12.88671875" style="2" customWidth="1"/>
    <col min="7685" max="7685" width="9.88671875" style="2" customWidth="1"/>
    <col min="7686" max="7686" width="13.109375" style="2" customWidth="1"/>
    <col min="7687" max="7687" width="10.33203125" style="2" customWidth="1"/>
    <col min="7688" max="7688" width="9.5546875" style="2" customWidth="1"/>
    <col min="7689" max="7689" width="12.109375" style="2" customWidth="1"/>
    <col min="7690" max="7690" width="6.5546875" style="2" customWidth="1"/>
    <col min="7691" max="7691" width="5.6640625" style="2" customWidth="1"/>
    <col min="7692" max="7692" width="11.88671875" style="2" customWidth="1"/>
    <col min="7693" max="7693" width="5" style="2" customWidth="1"/>
    <col min="7694" max="7694" width="6.109375" style="2" customWidth="1"/>
    <col min="7695" max="7695" width="10.109375" style="2" customWidth="1"/>
    <col min="7696" max="7716" width="0" style="2" hidden="1" customWidth="1"/>
    <col min="7717" max="7936" width="9.109375" style="2"/>
    <col min="7937" max="7937" width="0" style="2" hidden="1" customWidth="1"/>
    <col min="7938" max="7938" width="17.109375" style="2" customWidth="1"/>
    <col min="7939" max="7939" width="10.6640625" style="2" customWidth="1"/>
    <col min="7940" max="7940" width="12.88671875" style="2" customWidth="1"/>
    <col min="7941" max="7941" width="9.88671875" style="2" customWidth="1"/>
    <col min="7942" max="7942" width="13.109375" style="2" customWidth="1"/>
    <col min="7943" max="7943" width="10.33203125" style="2" customWidth="1"/>
    <col min="7944" max="7944" width="9.5546875" style="2" customWidth="1"/>
    <col min="7945" max="7945" width="12.109375" style="2" customWidth="1"/>
    <col min="7946" max="7946" width="6.5546875" style="2" customWidth="1"/>
    <col min="7947" max="7947" width="5.6640625" style="2" customWidth="1"/>
    <col min="7948" max="7948" width="11.88671875" style="2" customWidth="1"/>
    <col min="7949" max="7949" width="5" style="2" customWidth="1"/>
    <col min="7950" max="7950" width="6.109375" style="2" customWidth="1"/>
    <col min="7951" max="7951" width="10.109375" style="2" customWidth="1"/>
    <col min="7952" max="7972" width="0" style="2" hidden="1" customWidth="1"/>
    <col min="7973" max="8192" width="9.109375" style="2"/>
    <col min="8193" max="8193" width="0" style="2" hidden="1" customWidth="1"/>
    <col min="8194" max="8194" width="17.109375" style="2" customWidth="1"/>
    <col min="8195" max="8195" width="10.6640625" style="2" customWidth="1"/>
    <col min="8196" max="8196" width="12.88671875" style="2" customWidth="1"/>
    <col min="8197" max="8197" width="9.88671875" style="2" customWidth="1"/>
    <col min="8198" max="8198" width="13.109375" style="2" customWidth="1"/>
    <col min="8199" max="8199" width="10.33203125" style="2" customWidth="1"/>
    <col min="8200" max="8200" width="9.5546875" style="2" customWidth="1"/>
    <col min="8201" max="8201" width="12.109375" style="2" customWidth="1"/>
    <col min="8202" max="8202" width="6.5546875" style="2" customWidth="1"/>
    <col min="8203" max="8203" width="5.6640625" style="2" customWidth="1"/>
    <col min="8204" max="8204" width="11.88671875" style="2" customWidth="1"/>
    <col min="8205" max="8205" width="5" style="2" customWidth="1"/>
    <col min="8206" max="8206" width="6.109375" style="2" customWidth="1"/>
    <col min="8207" max="8207" width="10.109375" style="2" customWidth="1"/>
    <col min="8208" max="8228" width="0" style="2" hidden="1" customWidth="1"/>
    <col min="8229" max="8448" width="9.109375" style="2"/>
    <col min="8449" max="8449" width="0" style="2" hidden="1" customWidth="1"/>
    <col min="8450" max="8450" width="17.109375" style="2" customWidth="1"/>
    <col min="8451" max="8451" width="10.6640625" style="2" customWidth="1"/>
    <col min="8452" max="8452" width="12.88671875" style="2" customWidth="1"/>
    <col min="8453" max="8453" width="9.88671875" style="2" customWidth="1"/>
    <col min="8454" max="8454" width="13.109375" style="2" customWidth="1"/>
    <col min="8455" max="8455" width="10.33203125" style="2" customWidth="1"/>
    <col min="8456" max="8456" width="9.5546875" style="2" customWidth="1"/>
    <col min="8457" max="8457" width="12.109375" style="2" customWidth="1"/>
    <col min="8458" max="8458" width="6.5546875" style="2" customWidth="1"/>
    <col min="8459" max="8459" width="5.6640625" style="2" customWidth="1"/>
    <col min="8460" max="8460" width="11.88671875" style="2" customWidth="1"/>
    <col min="8461" max="8461" width="5" style="2" customWidth="1"/>
    <col min="8462" max="8462" width="6.109375" style="2" customWidth="1"/>
    <col min="8463" max="8463" width="10.109375" style="2" customWidth="1"/>
    <col min="8464" max="8484" width="0" style="2" hidden="1" customWidth="1"/>
    <col min="8485" max="8704" width="9.109375" style="2"/>
    <col min="8705" max="8705" width="0" style="2" hidden="1" customWidth="1"/>
    <col min="8706" max="8706" width="17.109375" style="2" customWidth="1"/>
    <col min="8707" max="8707" width="10.6640625" style="2" customWidth="1"/>
    <col min="8708" max="8708" width="12.88671875" style="2" customWidth="1"/>
    <col min="8709" max="8709" width="9.88671875" style="2" customWidth="1"/>
    <col min="8710" max="8710" width="13.109375" style="2" customWidth="1"/>
    <col min="8711" max="8711" width="10.33203125" style="2" customWidth="1"/>
    <col min="8712" max="8712" width="9.5546875" style="2" customWidth="1"/>
    <col min="8713" max="8713" width="12.109375" style="2" customWidth="1"/>
    <col min="8714" max="8714" width="6.5546875" style="2" customWidth="1"/>
    <col min="8715" max="8715" width="5.6640625" style="2" customWidth="1"/>
    <col min="8716" max="8716" width="11.88671875" style="2" customWidth="1"/>
    <col min="8717" max="8717" width="5" style="2" customWidth="1"/>
    <col min="8718" max="8718" width="6.109375" style="2" customWidth="1"/>
    <col min="8719" max="8719" width="10.109375" style="2" customWidth="1"/>
    <col min="8720" max="8740" width="0" style="2" hidden="1" customWidth="1"/>
    <col min="8741" max="8960" width="9.109375" style="2"/>
    <col min="8961" max="8961" width="0" style="2" hidden="1" customWidth="1"/>
    <col min="8962" max="8962" width="17.109375" style="2" customWidth="1"/>
    <col min="8963" max="8963" width="10.6640625" style="2" customWidth="1"/>
    <col min="8964" max="8964" width="12.88671875" style="2" customWidth="1"/>
    <col min="8965" max="8965" width="9.88671875" style="2" customWidth="1"/>
    <col min="8966" max="8966" width="13.109375" style="2" customWidth="1"/>
    <col min="8967" max="8967" width="10.33203125" style="2" customWidth="1"/>
    <col min="8968" max="8968" width="9.5546875" style="2" customWidth="1"/>
    <col min="8969" max="8969" width="12.109375" style="2" customWidth="1"/>
    <col min="8970" max="8970" width="6.5546875" style="2" customWidth="1"/>
    <col min="8971" max="8971" width="5.6640625" style="2" customWidth="1"/>
    <col min="8972" max="8972" width="11.88671875" style="2" customWidth="1"/>
    <col min="8973" max="8973" width="5" style="2" customWidth="1"/>
    <col min="8974" max="8974" width="6.109375" style="2" customWidth="1"/>
    <col min="8975" max="8975" width="10.109375" style="2" customWidth="1"/>
    <col min="8976" max="8996" width="0" style="2" hidden="1" customWidth="1"/>
    <col min="8997" max="9216" width="9.109375" style="2"/>
    <col min="9217" max="9217" width="0" style="2" hidden="1" customWidth="1"/>
    <col min="9218" max="9218" width="17.109375" style="2" customWidth="1"/>
    <col min="9219" max="9219" width="10.6640625" style="2" customWidth="1"/>
    <col min="9220" max="9220" width="12.88671875" style="2" customWidth="1"/>
    <col min="9221" max="9221" width="9.88671875" style="2" customWidth="1"/>
    <col min="9222" max="9222" width="13.109375" style="2" customWidth="1"/>
    <col min="9223" max="9223" width="10.33203125" style="2" customWidth="1"/>
    <col min="9224" max="9224" width="9.5546875" style="2" customWidth="1"/>
    <col min="9225" max="9225" width="12.109375" style="2" customWidth="1"/>
    <col min="9226" max="9226" width="6.5546875" style="2" customWidth="1"/>
    <col min="9227" max="9227" width="5.6640625" style="2" customWidth="1"/>
    <col min="9228" max="9228" width="11.88671875" style="2" customWidth="1"/>
    <col min="9229" max="9229" width="5" style="2" customWidth="1"/>
    <col min="9230" max="9230" width="6.109375" style="2" customWidth="1"/>
    <col min="9231" max="9231" width="10.109375" style="2" customWidth="1"/>
    <col min="9232" max="9252" width="0" style="2" hidden="1" customWidth="1"/>
    <col min="9253" max="9472" width="9.109375" style="2"/>
    <col min="9473" max="9473" width="0" style="2" hidden="1" customWidth="1"/>
    <col min="9474" max="9474" width="17.109375" style="2" customWidth="1"/>
    <col min="9475" max="9475" width="10.6640625" style="2" customWidth="1"/>
    <col min="9476" max="9476" width="12.88671875" style="2" customWidth="1"/>
    <col min="9477" max="9477" width="9.88671875" style="2" customWidth="1"/>
    <col min="9478" max="9478" width="13.109375" style="2" customWidth="1"/>
    <col min="9479" max="9479" width="10.33203125" style="2" customWidth="1"/>
    <col min="9480" max="9480" width="9.5546875" style="2" customWidth="1"/>
    <col min="9481" max="9481" width="12.109375" style="2" customWidth="1"/>
    <col min="9482" max="9482" width="6.5546875" style="2" customWidth="1"/>
    <col min="9483" max="9483" width="5.6640625" style="2" customWidth="1"/>
    <col min="9484" max="9484" width="11.88671875" style="2" customWidth="1"/>
    <col min="9485" max="9485" width="5" style="2" customWidth="1"/>
    <col min="9486" max="9486" width="6.109375" style="2" customWidth="1"/>
    <col min="9487" max="9487" width="10.109375" style="2" customWidth="1"/>
    <col min="9488" max="9508" width="0" style="2" hidden="1" customWidth="1"/>
    <col min="9509" max="9728" width="9.109375" style="2"/>
    <col min="9729" max="9729" width="0" style="2" hidden="1" customWidth="1"/>
    <col min="9730" max="9730" width="17.109375" style="2" customWidth="1"/>
    <col min="9731" max="9731" width="10.6640625" style="2" customWidth="1"/>
    <col min="9732" max="9732" width="12.88671875" style="2" customWidth="1"/>
    <col min="9733" max="9733" width="9.88671875" style="2" customWidth="1"/>
    <col min="9734" max="9734" width="13.109375" style="2" customWidth="1"/>
    <col min="9735" max="9735" width="10.33203125" style="2" customWidth="1"/>
    <col min="9736" max="9736" width="9.5546875" style="2" customWidth="1"/>
    <col min="9737" max="9737" width="12.109375" style="2" customWidth="1"/>
    <col min="9738" max="9738" width="6.5546875" style="2" customWidth="1"/>
    <col min="9739" max="9739" width="5.6640625" style="2" customWidth="1"/>
    <col min="9740" max="9740" width="11.88671875" style="2" customWidth="1"/>
    <col min="9741" max="9741" width="5" style="2" customWidth="1"/>
    <col min="9742" max="9742" width="6.109375" style="2" customWidth="1"/>
    <col min="9743" max="9743" width="10.109375" style="2" customWidth="1"/>
    <col min="9744" max="9764" width="0" style="2" hidden="1" customWidth="1"/>
    <col min="9765" max="9984" width="9.109375" style="2"/>
    <col min="9985" max="9985" width="0" style="2" hidden="1" customWidth="1"/>
    <col min="9986" max="9986" width="17.109375" style="2" customWidth="1"/>
    <col min="9987" max="9987" width="10.6640625" style="2" customWidth="1"/>
    <col min="9988" max="9988" width="12.88671875" style="2" customWidth="1"/>
    <col min="9989" max="9989" width="9.88671875" style="2" customWidth="1"/>
    <col min="9990" max="9990" width="13.109375" style="2" customWidth="1"/>
    <col min="9991" max="9991" width="10.33203125" style="2" customWidth="1"/>
    <col min="9992" max="9992" width="9.5546875" style="2" customWidth="1"/>
    <col min="9993" max="9993" width="12.109375" style="2" customWidth="1"/>
    <col min="9994" max="9994" width="6.5546875" style="2" customWidth="1"/>
    <col min="9995" max="9995" width="5.6640625" style="2" customWidth="1"/>
    <col min="9996" max="9996" width="11.88671875" style="2" customWidth="1"/>
    <col min="9997" max="9997" width="5" style="2" customWidth="1"/>
    <col min="9998" max="9998" width="6.109375" style="2" customWidth="1"/>
    <col min="9999" max="9999" width="10.109375" style="2" customWidth="1"/>
    <col min="10000" max="10020" width="0" style="2" hidden="1" customWidth="1"/>
    <col min="10021" max="10240" width="9.109375" style="2"/>
    <col min="10241" max="10241" width="0" style="2" hidden="1" customWidth="1"/>
    <col min="10242" max="10242" width="17.109375" style="2" customWidth="1"/>
    <col min="10243" max="10243" width="10.6640625" style="2" customWidth="1"/>
    <col min="10244" max="10244" width="12.88671875" style="2" customWidth="1"/>
    <col min="10245" max="10245" width="9.88671875" style="2" customWidth="1"/>
    <col min="10246" max="10246" width="13.109375" style="2" customWidth="1"/>
    <col min="10247" max="10247" width="10.33203125" style="2" customWidth="1"/>
    <col min="10248" max="10248" width="9.5546875" style="2" customWidth="1"/>
    <col min="10249" max="10249" width="12.109375" style="2" customWidth="1"/>
    <col min="10250" max="10250" width="6.5546875" style="2" customWidth="1"/>
    <col min="10251" max="10251" width="5.6640625" style="2" customWidth="1"/>
    <col min="10252" max="10252" width="11.88671875" style="2" customWidth="1"/>
    <col min="10253" max="10253" width="5" style="2" customWidth="1"/>
    <col min="10254" max="10254" width="6.109375" style="2" customWidth="1"/>
    <col min="10255" max="10255" width="10.109375" style="2" customWidth="1"/>
    <col min="10256" max="10276" width="0" style="2" hidden="1" customWidth="1"/>
    <col min="10277" max="10496" width="9.109375" style="2"/>
    <col min="10497" max="10497" width="0" style="2" hidden="1" customWidth="1"/>
    <col min="10498" max="10498" width="17.109375" style="2" customWidth="1"/>
    <col min="10499" max="10499" width="10.6640625" style="2" customWidth="1"/>
    <col min="10500" max="10500" width="12.88671875" style="2" customWidth="1"/>
    <col min="10501" max="10501" width="9.88671875" style="2" customWidth="1"/>
    <col min="10502" max="10502" width="13.109375" style="2" customWidth="1"/>
    <col min="10503" max="10503" width="10.33203125" style="2" customWidth="1"/>
    <col min="10504" max="10504" width="9.5546875" style="2" customWidth="1"/>
    <col min="10505" max="10505" width="12.109375" style="2" customWidth="1"/>
    <col min="10506" max="10506" width="6.5546875" style="2" customWidth="1"/>
    <col min="10507" max="10507" width="5.6640625" style="2" customWidth="1"/>
    <col min="10508" max="10508" width="11.88671875" style="2" customWidth="1"/>
    <col min="10509" max="10509" width="5" style="2" customWidth="1"/>
    <col min="10510" max="10510" width="6.109375" style="2" customWidth="1"/>
    <col min="10511" max="10511" width="10.109375" style="2" customWidth="1"/>
    <col min="10512" max="10532" width="0" style="2" hidden="1" customWidth="1"/>
    <col min="10533" max="10752" width="9.109375" style="2"/>
    <col min="10753" max="10753" width="0" style="2" hidden="1" customWidth="1"/>
    <col min="10754" max="10754" width="17.109375" style="2" customWidth="1"/>
    <col min="10755" max="10755" width="10.6640625" style="2" customWidth="1"/>
    <col min="10756" max="10756" width="12.88671875" style="2" customWidth="1"/>
    <col min="10757" max="10757" width="9.88671875" style="2" customWidth="1"/>
    <col min="10758" max="10758" width="13.109375" style="2" customWidth="1"/>
    <col min="10759" max="10759" width="10.33203125" style="2" customWidth="1"/>
    <col min="10760" max="10760" width="9.5546875" style="2" customWidth="1"/>
    <col min="10761" max="10761" width="12.109375" style="2" customWidth="1"/>
    <col min="10762" max="10762" width="6.5546875" style="2" customWidth="1"/>
    <col min="10763" max="10763" width="5.6640625" style="2" customWidth="1"/>
    <col min="10764" max="10764" width="11.88671875" style="2" customWidth="1"/>
    <col min="10765" max="10765" width="5" style="2" customWidth="1"/>
    <col min="10766" max="10766" width="6.109375" style="2" customWidth="1"/>
    <col min="10767" max="10767" width="10.109375" style="2" customWidth="1"/>
    <col min="10768" max="10788" width="0" style="2" hidden="1" customWidth="1"/>
    <col min="10789" max="11008" width="9.109375" style="2"/>
    <col min="11009" max="11009" width="0" style="2" hidden="1" customWidth="1"/>
    <col min="11010" max="11010" width="17.109375" style="2" customWidth="1"/>
    <col min="11011" max="11011" width="10.6640625" style="2" customWidth="1"/>
    <col min="11012" max="11012" width="12.88671875" style="2" customWidth="1"/>
    <col min="11013" max="11013" width="9.88671875" style="2" customWidth="1"/>
    <col min="11014" max="11014" width="13.109375" style="2" customWidth="1"/>
    <col min="11015" max="11015" width="10.33203125" style="2" customWidth="1"/>
    <col min="11016" max="11016" width="9.5546875" style="2" customWidth="1"/>
    <col min="11017" max="11017" width="12.109375" style="2" customWidth="1"/>
    <col min="11018" max="11018" width="6.5546875" style="2" customWidth="1"/>
    <col min="11019" max="11019" width="5.6640625" style="2" customWidth="1"/>
    <col min="11020" max="11020" width="11.88671875" style="2" customWidth="1"/>
    <col min="11021" max="11021" width="5" style="2" customWidth="1"/>
    <col min="11022" max="11022" width="6.109375" style="2" customWidth="1"/>
    <col min="11023" max="11023" width="10.109375" style="2" customWidth="1"/>
    <col min="11024" max="11044" width="0" style="2" hidden="1" customWidth="1"/>
    <col min="11045" max="11264" width="9.109375" style="2"/>
    <col min="11265" max="11265" width="0" style="2" hidden="1" customWidth="1"/>
    <col min="11266" max="11266" width="17.109375" style="2" customWidth="1"/>
    <col min="11267" max="11267" width="10.6640625" style="2" customWidth="1"/>
    <col min="11268" max="11268" width="12.88671875" style="2" customWidth="1"/>
    <col min="11269" max="11269" width="9.88671875" style="2" customWidth="1"/>
    <col min="11270" max="11270" width="13.109375" style="2" customWidth="1"/>
    <col min="11271" max="11271" width="10.33203125" style="2" customWidth="1"/>
    <col min="11272" max="11272" width="9.5546875" style="2" customWidth="1"/>
    <col min="11273" max="11273" width="12.109375" style="2" customWidth="1"/>
    <col min="11274" max="11274" width="6.5546875" style="2" customWidth="1"/>
    <col min="11275" max="11275" width="5.6640625" style="2" customWidth="1"/>
    <col min="11276" max="11276" width="11.88671875" style="2" customWidth="1"/>
    <col min="11277" max="11277" width="5" style="2" customWidth="1"/>
    <col min="11278" max="11278" width="6.109375" style="2" customWidth="1"/>
    <col min="11279" max="11279" width="10.109375" style="2" customWidth="1"/>
    <col min="11280" max="11300" width="0" style="2" hidden="1" customWidth="1"/>
    <col min="11301" max="11520" width="9.109375" style="2"/>
    <col min="11521" max="11521" width="0" style="2" hidden="1" customWidth="1"/>
    <col min="11522" max="11522" width="17.109375" style="2" customWidth="1"/>
    <col min="11523" max="11523" width="10.6640625" style="2" customWidth="1"/>
    <col min="11524" max="11524" width="12.88671875" style="2" customWidth="1"/>
    <col min="11525" max="11525" width="9.88671875" style="2" customWidth="1"/>
    <col min="11526" max="11526" width="13.109375" style="2" customWidth="1"/>
    <col min="11527" max="11527" width="10.33203125" style="2" customWidth="1"/>
    <col min="11528" max="11528" width="9.5546875" style="2" customWidth="1"/>
    <col min="11529" max="11529" width="12.109375" style="2" customWidth="1"/>
    <col min="11530" max="11530" width="6.5546875" style="2" customWidth="1"/>
    <col min="11531" max="11531" width="5.6640625" style="2" customWidth="1"/>
    <col min="11532" max="11532" width="11.88671875" style="2" customWidth="1"/>
    <col min="11533" max="11533" width="5" style="2" customWidth="1"/>
    <col min="11534" max="11534" width="6.109375" style="2" customWidth="1"/>
    <col min="11535" max="11535" width="10.109375" style="2" customWidth="1"/>
    <col min="11536" max="11556" width="0" style="2" hidden="1" customWidth="1"/>
    <col min="11557" max="11776" width="9.109375" style="2"/>
    <col min="11777" max="11777" width="0" style="2" hidden="1" customWidth="1"/>
    <col min="11778" max="11778" width="17.109375" style="2" customWidth="1"/>
    <col min="11779" max="11779" width="10.6640625" style="2" customWidth="1"/>
    <col min="11780" max="11780" width="12.88671875" style="2" customWidth="1"/>
    <col min="11781" max="11781" width="9.88671875" style="2" customWidth="1"/>
    <col min="11782" max="11782" width="13.109375" style="2" customWidth="1"/>
    <col min="11783" max="11783" width="10.33203125" style="2" customWidth="1"/>
    <col min="11784" max="11784" width="9.5546875" style="2" customWidth="1"/>
    <col min="11785" max="11785" width="12.109375" style="2" customWidth="1"/>
    <col min="11786" max="11786" width="6.5546875" style="2" customWidth="1"/>
    <col min="11787" max="11787" width="5.6640625" style="2" customWidth="1"/>
    <col min="11788" max="11788" width="11.88671875" style="2" customWidth="1"/>
    <col min="11789" max="11789" width="5" style="2" customWidth="1"/>
    <col min="11790" max="11790" width="6.109375" style="2" customWidth="1"/>
    <col min="11791" max="11791" width="10.109375" style="2" customWidth="1"/>
    <col min="11792" max="11812" width="0" style="2" hidden="1" customWidth="1"/>
    <col min="11813" max="12032" width="9.109375" style="2"/>
    <col min="12033" max="12033" width="0" style="2" hidden="1" customWidth="1"/>
    <col min="12034" max="12034" width="17.109375" style="2" customWidth="1"/>
    <col min="12035" max="12035" width="10.6640625" style="2" customWidth="1"/>
    <col min="12036" max="12036" width="12.88671875" style="2" customWidth="1"/>
    <col min="12037" max="12037" width="9.88671875" style="2" customWidth="1"/>
    <col min="12038" max="12038" width="13.109375" style="2" customWidth="1"/>
    <col min="12039" max="12039" width="10.33203125" style="2" customWidth="1"/>
    <col min="12040" max="12040" width="9.5546875" style="2" customWidth="1"/>
    <col min="12041" max="12041" width="12.109375" style="2" customWidth="1"/>
    <col min="12042" max="12042" width="6.5546875" style="2" customWidth="1"/>
    <col min="12043" max="12043" width="5.6640625" style="2" customWidth="1"/>
    <col min="12044" max="12044" width="11.88671875" style="2" customWidth="1"/>
    <col min="12045" max="12045" width="5" style="2" customWidth="1"/>
    <col min="12046" max="12046" width="6.109375" style="2" customWidth="1"/>
    <col min="12047" max="12047" width="10.109375" style="2" customWidth="1"/>
    <col min="12048" max="12068" width="0" style="2" hidden="1" customWidth="1"/>
    <col min="12069" max="12288" width="9.109375" style="2"/>
    <col min="12289" max="12289" width="0" style="2" hidden="1" customWidth="1"/>
    <col min="12290" max="12290" width="17.109375" style="2" customWidth="1"/>
    <col min="12291" max="12291" width="10.6640625" style="2" customWidth="1"/>
    <col min="12292" max="12292" width="12.88671875" style="2" customWidth="1"/>
    <col min="12293" max="12293" width="9.88671875" style="2" customWidth="1"/>
    <col min="12294" max="12294" width="13.109375" style="2" customWidth="1"/>
    <col min="12295" max="12295" width="10.33203125" style="2" customWidth="1"/>
    <col min="12296" max="12296" width="9.5546875" style="2" customWidth="1"/>
    <col min="12297" max="12297" width="12.109375" style="2" customWidth="1"/>
    <col min="12298" max="12298" width="6.5546875" style="2" customWidth="1"/>
    <col min="12299" max="12299" width="5.6640625" style="2" customWidth="1"/>
    <col min="12300" max="12300" width="11.88671875" style="2" customWidth="1"/>
    <col min="12301" max="12301" width="5" style="2" customWidth="1"/>
    <col min="12302" max="12302" width="6.109375" style="2" customWidth="1"/>
    <col min="12303" max="12303" width="10.109375" style="2" customWidth="1"/>
    <col min="12304" max="12324" width="0" style="2" hidden="1" customWidth="1"/>
    <col min="12325" max="12544" width="9.109375" style="2"/>
    <col min="12545" max="12545" width="0" style="2" hidden="1" customWidth="1"/>
    <col min="12546" max="12546" width="17.109375" style="2" customWidth="1"/>
    <col min="12547" max="12547" width="10.6640625" style="2" customWidth="1"/>
    <col min="12548" max="12548" width="12.88671875" style="2" customWidth="1"/>
    <col min="12549" max="12549" width="9.88671875" style="2" customWidth="1"/>
    <col min="12550" max="12550" width="13.109375" style="2" customWidth="1"/>
    <col min="12551" max="12551" width="10.33203125" style="2" customWidth="1"/>
    <col min="12552" max="12552" width="9.5546875" style="2" customWidth="1"/>
    <col min="12553" max="12553" width="12.109375" style="2" customWidth="1"/>
    <col min="12554" max="12554" width="6.5546875" style="2" customWidth="1"/>
    <col min="12555" max="12555" width="5.6640625" style="2" customWidth="1"/>
    <col min="12556" max="12556" width="11.88671875" style="2" customWidth="1"/>
    <col min="12557" max="12557" width="5" style="2" customWidth="1"/>
    <col min="12558" max="12558" width="6.109375" style="2" customWidth="1"/>
    <col min="12559" max="12559" width="10.109375" style="2" customWidth="1"/>
    <col min="12560" max="12580" width="0" style="2" hidden="1" customWidth="1"/>
    <col min="12581" max="12800" width="9.109375" style="2"/>
    <col min="12801" max="12801" width="0" style="2" hidden="1" customWidth="1"/>
    <col min="12802" max="12802" width="17.109375" style="2" customWidth="1"/>
    <col min="12803" max="12803" width="10.6640625" style="2" customWidth="1"/>
    <col min="12804" max="12804" width="12.88671875" style="2" customWidth="1"/>
    <col min="12805" max="12805" width="9.88671875" style="2" customWidth="1"/>
    <col min="12806" max="12806" width="13.109375" style="2" customWidth="1"/>
    <col min="12807" max="12807" width="10.33203125" style="2" customWidth="1"/>
    <col min="12808" max="12808" width="9.5546875" style="2" customWidth="1"/>
    <col min="12809" max="12809" width="12.109375" style="2" customWidth="1"/>
    <col min="12810" max="12810" width="6.5546875" style="2" customWidth="1"/>
    <col min="12811" max="12811" width="5.6640625" style="2" customWidth="1"/>
    <col min="12812" max="12812" width="11.88671875" style="2" customWidth="1"/>
    <col min="12813" max="12813" width="5" style="2" customWidth="1"/>
    <col min="12814" max="12814" width="6.109375" style="2" customWidth="1"/>
    <col min="12815" max="12815" width="10.109375" style="2" customWidth="1"/>
    <col min="12816" max="12836" width="0" style="2" hidden="1" customWidth="1"/>
    <col min="12837" max="13056" width="9.109375" style="2"/>
    <col min="13057" max="13057" width="0" style="2" hidden="1" customWidth="1"/>
    <col min="13058" max="13058" width="17.109375" style="2" customWidth="1"/>
    <col min="13059" max="13059" width="10.6640625" style="2" customWidth="1"/>
    <col min="13060" max="13060" width="12.88671875" style="2" customWidth="1"/>
    <col min="13061" max="13061" width="9.88671875" style="2" customWidth="1"/>
    <col min="13062" max="13062" width="13.109375" style="2" customWidth="1"/>
    <col min="13063" max="13063" width="10.33203125" style="2" customWidth="1"/>
    <col min="13064" max="13064" width="9.5546875" style="2" customWidth="1"/>
    <col min="13065" max="13065" width="12.109375" style="2" customWidth="1"/>
    <col min="13066" max="13066" width="6.5546875" style="2" customWidth="1"/>
    <col min="13067" max="13067" width="5.6640625" style="2" customWidth="1"/>
    <col min="13068" max="13068" width="11.88671875" style="2" customWidth="1"/>
    <col min="13069" max="13069" width="5" style="2" customWidth="1"/>
    <col min="13070" max="13070" width="6.109375" style="2" customWidth="1"/>
    <col min="13071" max="13071" width="10.109375" style="2" customWidth="1"/>
    <col min="13072" max="13092" width="0" style="2" hidden="1" customWidth="1"/>
    <col min="13093" max="13312" width="9.109375" style="2"/>
    <col min="13313" max="13313" width="0" style="2" hidden="1" customWidth="1"/>
    <col min="13314" max="13314" width="17.109375" style="2" customWidth="1"/>
    <col min="13315" max="13315" width="10.6640625" style="2" customWidth="1"/>
    <col min="13316" max="13316" width="12.88671875" style="2" customWidth="1"/>
    <col min="13317" max="13317" width="9.88671875" style="2" customWidth="1"/>
    <col min="13318" max="13318" width="13.109375" style="2" customWidth="1"/>
    <col min="13319" max="13319" width="10.33203125" style="2" customWidth="1"/>
    <col min="13320" max="13320" width="9.5546875" style="2" customWidth="1"/>
    <col min="13321" max="13321" width="12.109375" style="2" customWidth="1"/>
    <col min="13322" max="13322" width="6.5546875" style="2" customWidth="1"/>
    <col min="13323" max="13323" width="5.6640625" style="2" customWidth="1"/>
    <col min="13324" max="13324" width="11.88671875" style="2" customWidth="1"/>
    <col min="13325" max="13325" width="5" style="2" customWidth="1"/>
    <col min="13326" max="13326" width="6.109375" style="2" customWidth="1"/>
    <col min="13327" max="13327" width="10.109375" style="2" customWidth="1"/>
    <col min="13328" max="13348" width="0" style="2" hidden="1" customWidth="1"/>
    <col min="13349" max="13568" width="9.109375" style="2"/>
    <col min="13569" max="13569" width="0" style="2" hidden="1" customWidth="1"/>
    <col min="13570" max="13570" width="17.109375" style="2" customWidth="1"/>
    <col min="13571" max="13571" width="10.6640625" style="2" customWidth="1"/>
    <col min="13572" max="13572" width="12.88671875" style="2" customWidth="1"/>
    <col min="13573" max="13573" width="9.88671875" style="2" customWidth="1"/>
    <col min="13574" max="13574" width="13.109375" style="2" customWidth="1"/>
    <col min="13575" max="13575" width="10.33203125" style="2" customWidth="1"/>
    <col min="13576" max="13576" width="9.5546875" style="2" customWidth="1"/>
    <col min="13577" max="13577" width="12.109375" style="2" customWidth="1"/>
    <col min="13578" max="13578" width="6.5546875" style="2" customWidth="1"/>
    <col min="13579" max="13579" width="5.6640625" style="2" customWidth="1"/>
    <col min="13580" max="13580" width="11.88671875" style="2" customWidth="1"/>
    <col min="13581" max="13581" width="5" style="2" customWidth="1"/>
    <col min="13582" max="13582" width="6.109375" style="2" customWidth="1"/>
    <col min="13583" max="13583" width="10.109375" style="2" customWidth="1"/>
    <col min="13584" max="13604" width="0" style="2" hidden="1" customWidth="1"/>
    <col min="13605" max="13824" width="9.109375" style="2"/>
    <col min="13825" max="13825" width="0" style="2" hidden="1" customWidth="1"/>
    <col min="13826" max="13826" width="17.109375" style="2" customWidth="1"/>
    <col min="13827" max="13827" width="10.6640625" style="2" customWidth="1"/>
    <col min="13828" max="13828" width="12.88671875" style="2" customWidth="1"/>
    <col min="13829" max="13829" width="9.88671875" style="2" customWidth="1"/>
    <col min="13830" max="13830" width="13.109375" style="2" customWidth="1"/>
    <col min="13831" max="13831" width="10.33203125" style="2" customWidth="1"/>
    <col min="13832" max="13832" width="9.5546875" style="2" customWidth="1"/>
    <col min="13833" max="13833" width="12.109375" style="2" customWidth="1"/>
    <col min="13834" max="13834" width="6.5546875" style="2" customWidth="1"/>
    <col min="13835" max="13835" width="5.6640625" style="2" customWidth="1"/>
    <col min="13836" max="13836" width="11.88671875" style="2" customWidth="1"/>
    <col min="13837" max="13837" width="5" style="2" customWidth="1"/>
    <col min="13838" max="13838" width="6.109375" style="2" customWidth="1"/>
    <col min="13839" max="13839" width="10.109375" style="2" customWidth="1"/>
    <col min="13840" max="13860" width="0" style="2" hidden="1" customWidth="1"/>
    <col min="13861" max="14080" width="9.109375" style="2"/>
    <col min="14081" max="14081" width="0" style="2" hidden="1" customWidth="1"/>
    <col min="14082" max="14082" width="17.109375" style="2" customWidth="1"/>
    <col min="14083" max="14083" width="10.6640625" style="2" customWidth="1"/>
    <col min="14084" max="14084" width="12.88671875" style="2" customWidth="1"/>
    <col min="14085" max="14085" width="9.88671875" style="2" customWidth="1"/>
    <col min="14086" max="14086" width="13.109375" style="2" customWidth="1"/>
    <col min="14087" max="14087" width="10.33203125" style="2" customWidth="1"/>
    <col min="14088" max="14088" width="9.5546875" style="2" customWidth="1"/>
    <col min="14089" max="14089" width="12.109375" style="2" customWidth="1"/>
    <col min="14090" max="14090" width="6.5546875" style="2" customWidth="1"/>
    <col min="14091" max="14091" width="5.6640625" style="2" customWidth="1"/>
    <col min="14092" max="14092" width="11.88671875" style="2" customWidth="1"/>
    <col min="14093" max="14093" width="5" style="2" customWidth="1"/>
    <col min="14094" max="14094" width="6.109375" style="2" customWidth="1"/>
    <col min="14095" max="14095" width="10.109375" style="2" customWidth="1"/>
    <col min="14096" max="14116" width="0" style="2" hidden="1" customWidth="1"/>
    <col min="14117" max="14336" width="9.109375" style="2"/>
    <col min="14337" max="14337" width="0" style="2" hidden="1" customWidth="1"/>
    <col min="14338" max="14338" width="17.109375" style="2" customWidth="1"/>
    <col min="14339" max="14339" width="10.6640625" style="2" customWidth="1"/>
    <col min="14340" max="14340" width="12.88671875" style="2" customWidth="1"/>
    <col min="14341" max="14341" width="9.88671875" style="2" customWidth="1"/>
    <col min="14342" max="14342" width="13.109375" style="2" customWidth="1"/>
    <col min="14343" max="14343" width="10.33203125" style="2" customWidth="1"/>
    <col min="14344" max="14344" width="9.5546875" style="2" customWidth="1"/>
    <col min="14345" max="14345" width="12.109375" style="2" customWidth="1"/>
    <col min="14346" max="14346" width="6.5546875" style="2" customWidth="1"/>
    <col min="14347" max="14347" width="5.6640625" style="2" customWidth="1"/>
    <col min="14348" max="14348" width="11.88671875" style="2" customWidth="1"/>
    <col min="14349" max="14349" width="5" style="2" customWidth="1"/>
    <col min="14350" max="14350" width="6.109375" style="2" customWidth="1"/>
    <col min="14351" max="14351" width="10.109375" style="2" customWidth="1"/>
    <col min="14352" max="14372" width="0" style="2" hidden="1" customWidth="1"/>
    <col min="14373" max="14592" width="9.109375" style="2"/>
    <col min="14593" max="14593" width="0" style="2" hidden="1" customWidth="1"/>
    <col min="14594" max="14594" width="17.109375" style="2" customWidth="1"/>
    <col min="14595" max="14595" width="10.6640625" style="2" customWidth="1"/>
    <col min="14596" max="14596" width="12.88671875" style="2" customWidth="1"/>
    <col min="14597" max="14597" width="9.88671875" style="2" customWidth="1"/>
    <col min="14598" max="14598" width="13.109375" style="2" customWidth="1"/>
    <col min="14599" max="14599" width="10.33203125" style="2" customWidth="1"/>
    <col min="14600" max="14600" width="9.5546875" style="2" customWidth="1"/>
    <col min="14601" max="14601" width="12.109375" style="2" customWidth="1"/>
    <col min="14602" max="14602" width="6.5546875" style="2" customWidth="1"/>
    <col min="14603" max="14603" width="5.6640625" style="2" customWidth="1"/>
    <col min="14604" max="14604" width="11.88671875" style="2" customWidth="1"/>
    <col min="14605" max="14605" width="5" style="2" customWidth="1"/>
    <col min="14606" max="14606" width="6.109375" style="2" customWidth="1"/>
    <col min="14607" max="14607" width="10.109375" style="2" customWidth="1"/>
    <col min="14608" max="14628" width="0" style="2" hidden="1" customWidth="1"/>
    <col min="14629" max="14848" width="9.109375" style="2"/>
    <col min="14849" max="14849" width="0" style="2" hidden="1" customWidth="1"/>
    <col min="14850" max="14850" width="17.109375" style="2" customWidth="1"/>
    <col min="14851" max="14851" width="10.6640625" style="2" customWidth="1"/>
    <col min="14852" max="14852" width="12.88671875" style="2" customWidth="1"/>
    <col min="14853" max="14853" width="9.88671875" style="2" customWidth="1"/>
    <col min="14854" max="14854" width="13.109375" style="2" customWidth="1"/>
    <col min="14855" max="14855" width="10.33203125" style="2" customWidth="1"/>
    <col min="14856" max="14856" width="9.5546875" style="2" customWidth="1"/>
    <col min="14857" max="14857" width="12.109375" style="2" customWidth="1"/>
    <col min="14858" max="14858" width="6.5546875" style="2" customWidth="1"/>
    <col min="14859" max="14859" width="5.6640625" style="2" customWidth="1"/>
    <col min="14860" max="14860" width="11.88671875" style="2" customWidth="1"/>
    <col min="14861" max="14861" width="5" style="2" customWidth="1"/>
    <col min="14862" max="14862" width="6.109375" style="2" customWidth="1"/>
    <col min="14863" max="14863" width="10.109375" style="2" customWidth="1"/>
    <col min="14864" max="14884" width="0" style="2" hidden="1" customWidth="1"/>
    <col min="14885" max="15104" width="9.109375" style="2"/>
    <col min="15105" max="15105" width="0" style="2" hidden="1" customWidth="1"/>
    <col min="15106" max="15106" width="17.109375" style="2" customWidth="1"/>
    <col min="15107" max="15107" width="10.6640625" style="2" customWidth="1"/>
    <col min="15108" max="15108" width="12.88671875" style="2" customWidth="1"/>
    <col min="15109" max="15109" width="9.88671875" style="2" customWidth="1"/>
    <col min="15110" max="15110" width="13.109375" style="2" customWidth="1"/>
    <col min="15111" max="15111" width="10.33203125" style="2" customWidth="1"/>
    <col min="15112" max="15112" width="9.5546875" style="2" customWidth="1"/>
    <col min="15113" max="15113" width="12.109375" style="2" customWidth="1"/>
    <col min="15114" max="15114" width="6.5546875" style="2" customWidth="1"/>
    <col min="15115" max="15115" width="5.6640625" style="2" customWidth="1"/>
    <col min="15116" max="15116" width="11.88671875" style="2" customWidth="1"/>
    <col min="15117" max="15117" width="5" style="2" customWidth="1"/>
    <col min="15118" max="15118" width="6.109375" style="2" customWidth="1"/>
    <col min="15119" max="15119" width="10.109375" style="2" customWidth="1"/>
    <col min="15120" max="15140" width="0" style="2" hidden="1" customWidth="1"/>
    <col min="15141" max="15360" width="9.109375" style="2"/>
    <col min="15361" max="15361" width="0" style="2" hidden="1" customWidth="1"/>
    <col min="15362" max="15362" width="17.109375" style="2" customWidth="1"/>
    <col min="15363" max="15363" width="10.6640625" style="2" customWidth="1"/>
    <col min="15364" max="15364" width="12.88671875" style="2" customWidth="1"/>
    <col min="15365" max="15365" width="9.88671875" style="2" customWidth="1"/>
    <col min="15366" max="15366" width="13.109375" style="2" customWidth="1"/>
    <col min="15367" max="15367" width="10.33203125" style="2" customWidth="1"/>
    <col min="15368" max="15368" width="9.5546875" style="2" customWidth="1"/>
    <col min="15369" max="15369" width="12.109375" style="2" customWidth="1"/>
    <col min="15370" max="15370" width="6.5546875" style="2" customWidth="1"/>
    <col min="15371" max="15371" width="5.6640625" style="2" customWidth="1"/>
    <col min="15372" max="15372" width="11.88671875" style="2" customWidth="1"/>
    <col min="15373" max="15373" width="5" style="2" customWidth="1"/>
    <col min="15374" max="15374" width="6.109375" style="2" customWidth="1"/>
    <col min="15375" max="15375" width="10.109375" style="2" customWidth="1"/>
    <col min="15376" max="15396" width="0" style="2" hidden="1" customWidth="1"/>
    <col min="15397" max="15616" width="9.109375" style="2"/>
    <col min="15617" max="15617" width="0" style="2" hidden="1" customWidth="1"/>
    <col min="15618" max="15618" width="17.109375" style="2" customWidth="1"/>
    <col min="15619" max="15619" width="10.6640625" style="2" customWidth="1"/>
    <col min="15620" max="15620" width="12.88671875" style="2" customWidth="1"/>
    <col min="15621" max="15621" width="9.88671875" style="2" customWidth="1"/>
    <col min="15622" max="15622" width="13.109375" style="2" customWidth="1"/>
    <col min="15623" max="15623" width="10.33203125" style="2" customWidth="1"/>
    <col min="15624" max="15624" width="9.5546875" style="2" customWidth="1"/>
    <col min="15625" max="15625" width="12.109375" style="2" customWidth="1"/>
    <col min="15626" max="15626" width="6.5546875" style="2" customWidth="1"/>
    <col min="15627" max="15627" width="5.6640625" style="2" customWidth="1"/>
    <col min="15628" max="15628" width="11.88671875" style="2" customWidth="1"/>
    <col min="15629" max="15629" width="5" style="2" customWidth="1"/>
    <col min="15630" max="15630" width="6.109375" style="2" customWidth="1"/>
    <col min="15631" max="15631" width="10.109375" style="2" customWidth="1"/>
    <col min="15632" max="15652" width="0" style="2" hidden="1" customWidth="1"/>
    <col min="15653" max="15872" width="9.109375" style="2"/>
    <col min="15873" max="15873" width="0" style="2" hidden="1" customWidth="1"/>
    <col min="15874" max="15874" width="17.109375" style="2" customWidth="1"/>
    <col min="15875" max="15875" width="10.6640625" style="2" customWidth="1"/>
    <col min="15876" max="15876" width="12.88671875" style="2" customWidth="1"/>
    <col min="15877" max="15877" width="9.88671875" style="2" customWidth="1"/>
    <col min="15878" max="15878" width="13.109375" style="2" customWidth="1"/>
    <col min="15879" max="15879" width="10.33203125" style="2" customWidth="1"/>
    <col min="15880" max="15880" width="9.5546875" style="2" customWidth="1"/>
    <col min="15881" max="15881" width="12.109375" style="2" customWidth="1"/>
    <col min="15882" max="15882" width="6.5546875" style="2" customWidth="1"/>
    <col min="15883" max="15883" width="5.6640625" style="2" customWidth="1"/>
    <col min="15884" max="15884" width="11.88671875" style="2" customWidth="1"/>
    <col min="15885" max="15885" width="5" style="2" customWidth="1"/>
    <col min="15886" max="15886" width="6.109375" style="2" customWidth="1"/>
    <col min="15887" max="15887" width="10.109375" style="2" customWidth="1"/>
    <col min="15888" max="15908" width="0" style="2" hidden="1" customWidth="1"/>
    <col min="15909" max="16128" width="9.109375" style="2"/>
    <col min="16129" max="16129" width="0" style="2" hidden="1" customWidth="1"/>
    <col min="16130" max="16130" width="17.109375" style="2" customWidth="1"/>
    <col min="16131" max="16131" width="10.6640625" style="2" customWidth="1"/>
    <col min="16132" max="16132" width="12.88671875" style="2" customWidth="1"/>
    <col min="16133" max="16133" width="9.88671875" style="2" customWidth="1"/>
    <col min="16134" max="16134" width="13.109375" style="2" customWidth="1"/>
    <col min="16135" max="16135" width="10.33203125" style="2" customWidth="1"/>
    <col min="16136" max="16136" width="9.5546875" style="2" customWidth="1"/>
    <col min="16137" max="16137" width="12.109375" style="2" customWidth="1"/>
    <col min="16138" max="16138" width="6.5546875" style="2" customWidth="1"/>
    <col min="16139" max="16139" width="5.6640625" style="2" customWidth="1"/>
    <col min="16140" max="16140" width="11.88671875" style="2" customWidth="1"/>
    <col min="16141" max="16141" width="5" style="2" customWidth="1"/>
    <col min="16142" max="16142" width="6.109375" style="2" customWidth="1"/>
    <col min="16143" max="16143" width="10.109375" style="2" customWidth="1"/>
    <col min="16144" max="16164" width="0" style="2" hidden="1" customWidth="1"/>
    <col min="16165" max="16384" width="9.109375" style="2"/>
  </cols>
  <sheetData>
    <row r="1" spans="1:53" ht="15.6"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N1" s="2" t="s">
        <v>85</v>
      </c>
      <c r="AK1" s="109" t="s">
        <v>93</v>
      </c>
    </row>
    <row r="2" spans="1:53" ht="15.6">
      <c r="B2" s="207" t="s">
        <v>94</v>
      </c>
      <c r="C2" s="207"/>
      <c r="D2" s="207"/>
      <c r="E2" s="207"/>
      <c r="F2" s="207"/>
      <c r="G2" s="207"/>
      <c r="H2" s="207"/>
      <c r="I2" s="80"/>
      <c r="J2" s="80"/>
      <c r="K2" s="80"/>
      <c r="L2" s="80"/>
    </row>
    <row r="3" spans="1:53" ht="15.6">
      <c r="B3" s="126" t="s">
        <v>158</v>
      </c>
      <c r="C3" s="126"/>
      <c r="D3" s="126"/>
      <c r="E3" s="126"/>
      <c r="F3" s="126"/>
      <c r="G3" s="126"/>
      <c r="H3"/>
      <c r="I3" s="80"/>
      <c r="J3" s="80"/>
      <c r="K3" s="80"/>
      <c r="L3" s="80"/>
    </row>
    <row r="4" spans="1:53" ht="15.6">
      <c r="B4" s="126" t="s">
        <v>159</v>
      </c>
      <c r="C4" s="126"/>
      <c r="D4" s="126"/>
      <c r="E4" s="126"/>
      <c r="F4" s="126"/>
      <c r="G4" s="126"/>
      <c r="H4"/>
      <c r="I4" s="80"/>
      <c r="J4" s="80"/>
      <c r="K4" s="80"/>
      <c r="L4" s="80"/>
    </row>
    <row r="5" spans="1:53" ht="15.6">
      <c r="B5" s="126" t="s">
        <v>160</v>
      </c>
      <c r="C5" s="126"/>
      <c r="D5" s="126"/>
      <c r="E5" s="126"/>
      <c r="F5" s="126"/>
      <c r="G5" s="126"/>
      <c r="H5"/>
      <c r="I5" s="80"/>
      <c r="J5" s="80"/>
      <c r="K5" s="80"/>
      <c r="L5" s="80"/>
    </row>
    <row r="6" spans="1:53" ht="13.8" thickBot="1"/>
    <row r="7" spans="1:53" s="5" customFormat="1" ht="21.75" customHeight="1">
      <c r="A7" s="217" t="s">
        <v>0</v>
      </c>
      <c r="B7" s="204" t="s">
        <v>1</v>
      </c>
      <c r="C7" s="204" t="s">
        <v>2</v>
      </c>
      <c r="D7" s="204" t="s">
        <v>3</v>
      </c>
      <c r="E7" s="204" t="s">
        <v>4</v>
      </c>
      <c r="F7" s="204" t="s">
        <v>5</v>
      </c>
      <c r="G7" s="204" t="s">
        <v>6</v>
      </c>
      <c r="H7" s="204" t="s">
        <v>70</v>
      </c>
      <c r="I7" s="204" t="s">
        <v>7</v>
      </c>
      <c r="J7" s="204" t="s">
        <v>8</v>
      </c>
      <c r="K7" s="204" t="s">
        <v>9</v>
      </c>
      <c r="L7" s="204" t="s">
        <v>10</v>
      </c>
      <c r="M7" s="204" t="s">
        <v>11</v>
      </c>
      <c r="N7" s="204" t="s">
        <v>12</v>
      </c>
      <c r="O7" s="204" t="s">
        <v>13</v>
      </c>
      <c r="P7" s="210" t="s">
        <v>14</v>
      </c>
      <c r="Q7" s="200" t="s">
        <v>15</v>
      </c>
      <c r="R7" s="200" t="s">
        <v>16</v>
      </c>
      <c r="S7" s="200" t="s">
        <v>17</v>
      </c>
      <c r="T7" s="200" t="s">
        <v>18</v>
      </c>
      <c r="U7" s="200" t="s">
        <v>19</v>
      </c>
      <c r="V7" s="200" t="s">
        <v>20</v>
      </c>
      <c r="W7" s="200" t="s">
        <v>21</v>
      </c>
      <c r="X7" s="200" t="s">
        <v>22</v>
      </c>
      <c r="Y7" s="200" t="s">
        <v>23</v>
      </c>
      <c r="Z7" s="200" t="s">
        <v>24</v>
      </c>
      <c r="AA7" s="200" t="s">
        <v>25</v>
      </c>
      <c r="AB7" s="200" t="s">
        <v>26</v>
      </c>
      <c r="AC7" s="200" t="s">
        <v>27</v>
      </c>
      <c r="AD7" s="200" t="s">
        <v>28</v>
      </c>
      <c r="AE7" s="200" t="s">
        <v>29</v>
      </c>
      <c r="AF7" s="200" t="s">
        <v>30</v>
      </c>
      <c r="AG7" s="200" t="s">
        <v>31</v>
      </c>
      <c r="AH7" s="200" t="s">
        <v>32</v>
      </c>
      <c r="AI7" s="200" t="s">
        <v>33</v>
      </c>
      <c r="AJ7" s="196" t="s">
        <v>34</v>
      </c>
      <c r="AK7" s="199"/>
      <c r="AL7" s="199"/>
      <c r="AM7" s="199"/>
      <c r="AN7" s="199"/>
      <c r="AO7" s="199"/>
      <c r="AP7" s="199"/>
      <c r="AQ7" s="199"/>
      <c r="AR7" s="199"/>
      <c r="AS7" s="199"/>
      <c r="AT7" s="4"/>
      <c r="AU7" s="4"/>
      <c r="AV7" s="4"/>
      <c r="AW7" s="4"/>
      <c r="AX7" s="4"/>
      <c r="AY7" s="4"/>
      <c r="AZ7" s="4"/>
      <c r="BA7" s="4"/>
    </row>
    <row r="8" spans="1:53" s="5" customFormat="1" ht="13.5" customHeight="1">
      <c r="A8" s="218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1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197"/>
      <c r="AK8" s="199"/>
      <c r="AL8" s="199"/>
      <c r="AM8" s="199"/>
      <c r="AN8" s="199"/>
      <c r="AO8" s="199"/>
      <c r="AP8" s="199"/>
      <c r="AQ8" s="199"/>
      <c r="AR8" s="199"/>
      <c r="AS8" s="199"/>
      <c r="AT8" s="4"/>
      <c r="AU8" s="4"/>
      <c r="AV8" s="4"/>
      <c r="AW8" s="4"/>
      <c r="AX8" s="4"/>
      <c r="AY8" s="4"/>
      <c r="AZ8" s="4"/>
      <c r="BA8" s="4"/>
    </row>
    <row r="9" spans="1:53" s="5" customFormat="1" ht="12.75" customHeight="1">
      <c r="A9" s="218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1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197"/>
      <c r="AK9" s="199"/>
      <c r="AL9" s="199"/>
      <c r="AM9" s="199"/>
      <c r="AN9" s="199"/>
      <c r="AO9" s="199"/>
      <c r="AP9" s="199"/>
      <c r="AQ9" s="199"/>
      <c r="AR9" s="199"/>
      <c r="AS9" s="199"/>
      <c r="AT9" s="4"/>
      <c r="AU9" s="4"/>
      <c r="AV9" s="4"/>
      <c r="AW9" s="4"/>
      <c r="AX9" s="4"/>
      <c r="AY9" s="4"/>
      <c r="AZ9" s="4"/>
      <c r="BA9" s="4"/>
    </row>
    <row r="10" spans="1:53" s="5" customFormat="1" ht="3.75" customHeight="1" thickBot="1">
      <c r="A10" s="219"/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1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198"/>
      <c r="AK10" s="199"/>
      <c r="AL10" s="199"/>
      <c r="AM10" s="199"/>
      <c r="AN10" s="199"/>
      <c r="AO10" s="199"/>
      <c r="AP10" s="199"/>
      <c r="AQ10" s="199"/>
      <c r="AR10" s="199"/>
      <c r="AS10" s="199"/>
      <c r="AT10" s="4"/>
      <c r="AU10" s="4"/>
      <c r="AV10" s="4"/>
      <c r="AW10" s="4"/>
      <c r="AX10" s="4"/>
      <c r="AY10" s="4"/>
      <c r="AZ10" s="4"/>
      <c r="BA10" s="4"/>
    </row>
    <row r="11" spans="1:53" s="5" customFormat="1" ht="38.25" customHeight="1" thickBot="1">
      <c r="A11" s="6"/>
      <c r="B11" s="166" t="s">
        <v>141</v>
      </c>
      <c r="C11" s="8">
        <v>1985</v>
      </c>
      <c r="D11" s="8">
        <v>2297</v>
      </c>
      <c r="E11" s="8">
        <v>6.85</v>
      </c>
      <c r="F11" s="9">
        <f>0.01*SQRT(2*9.81*E11*(1- (273+K11)/(273+J11))+G11*G11)</f>
        <v>8.4535215918429094E-2</v>
      </c>
      <c r="G11" s="8">
        <v>6.9</v>
      </c>
      <c r="H11" s="128">
        <f>1.3/POWER(D11,1/8)</f>
        <v>0.49408108486111274</v>
      </c>
      <c r="I11" s="8">
        <v>0.98</v>
      </c>
      <c r="J11" s="8">
        <v>20</v>
      </c>
      <c r="K11" s="8">
        <v>-32</v>
      </c>
      <c r="L11" s="9">
        <f>I11*D11*H11*(J11-K11)*(1+F11)*0.000001</f>
        <v>6.2723791278257002E-2</v>
      </c>
      <c r="M11" s="127">
        <f>D32</f>
        <v>-5.3671280276816615</v>
      </c>
      <c r="N11" s="8">
        <f>C32</f>
        <v>289</v>
      </c>
      <c r="O11" s="141">
        <f>L11*((J11-M11)/(J11-K11))*24*N11</f>
        <v>212.23125518770615</v>
      </c>
      <c r="P11" s="10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2"/>
      <c r="AF11" s="11"/>
      <c r="AG11" s="11"/>
      <c r="AH11" s="12"/>
      <c r="AI11" s="12"/>
      <c r="AJ11" s="13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</row>
    <row r="12" spans="1:53" s="5" customFormat="1" ht="12.75" customHeight="1" thickBot="1">
      <c r="A12" s="6"/>
      <c r="B12" s="14"/>
      <c r="C12" s="15"/>
      <c r="D12" s="16"/>
      <c r="E12" s="16"/>
      <c r="F12" s="17"/>
      <c r="G12" s="18"/>
      <c r="H12" s="129"/>
      <c r="I12" s="16"/>
      <c r="J12" s="16"/>
      <c r="K12" s="16"/>
      <c r="L12" s="19"/>
      <c r="M12" s="16"/>
      <c r="N12" s="16"/>
      <c r="O12" s="142"/>
      <c r="P12" s="10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2"/>
      <c r="AF12" s="11"/>
      <c r="AG12" s="11"/>
      <c r="AH12" s="12"/>
      <c r="AI12" s="12"/>
      <c r="AJ12" s="13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</row>
    <row r="13" spans="1:53" s="5" customFormat="1" ht="13.5" customHeight="1" thickBot="1">
      <c r="A13" s="20" t="s">
        <v>35</v>
      </c>
      <c r="B13" s="21"/>
      <c r="C13" s="22"/>
      <c r="D13" s="23"/>
      <c r="E13" s="24"/>
      <c r="F13" s="25"/>
      <c r="G13" s="26"/>
      <c r="H13" s="27"/>
      <c r="I13" s="28"/>
      <c r="J13" s="29">
        <f>J11</f>
        <v>20</v>
      </c>
      <c r="K13" s="29">
        <v>-32</v>
      </c>
      <c r="L13" s="30">
        <f>SUM(L11:L12)</f>
        <v>6.2723791278257002E-2</v>
      </c>
      <c r="M13" s="144">
        <f>M11</f>
        <v>-5.3671280276816615</v>
      </c>
      <c r="N13" s="31">
        <f>N11</f>
        <v>289</v>
      </c>
      <c r="O13" s="145">
        <f>SUM(O11:O12)</f>
        <v>212.23125518770615</v>
      </c>
      <c r="P13" s="32">
        <v>-17</v>
      </c>
      <c r="Q13" s="33">
        <f>16*N13</f>
        <v>4624</v>
      </c>
      <c r="R13" s="34" t="e">
        <f>D13*#REF!*(J13-P13)*0.000001</f>
        <v>#REF!</v>
      </c>
      <c r="S13" s="34" t="e">
        <f>D13*#REF!*(J13-M13)*Q13*0.000001</f>
        <v>#REF!</v>
      </c>
      <c r="T13" s="34">
        <v>0.2</v>
      </c>
      <c r="U13" s="34"/>
      <c r="V13" s="34">
        <v>5</v>
      </c>
      <c r="W13" s="34">
        <v>15</v>
      </c>
      <c r="X13" s="34">
        <v>0.8</v>
      </c>
      <c r="Y13" s="34">
        <f>((E13*U13*1*(55-V13))/24)*0.000001*(1+T13)</f>
        <v>0</v>
      </c>
      <c r="Z13" s="34">
        <f>((E13*U13*1*X13*(55-W13))/24)*0.000001*(1+T13)</f>
        <v>0</v>
      </c>
      <c r="AA13" s="34">
        <f>Y13+Z13</f>
        <v>0</v>
      </c>
      <c r="AB13" s="34"/>
      <c r="AC13" s="34">
        <f>AB13*AA13</f>
        <v>0</v>
      </c>
      <c r="AD13" s="34">
        <f>Y13*24*N13+Z13*24*(350-N13)</f>
        <v>0</v>
      </c>
      <c r="AE13" s="34">
        <f>(U13*N13+X13*U13*(350-N13))*E13*0.001</f>
        <v>0</v>
      </c>
      <c r="AF13" s="34">
        <f>(Y13*10^6)/(1000*(55-5))</f>
        <v>0</v>
      </c>
      <c r="AG13" s="34">
        <f>(Z13*10^6)/(1000*(55-15))</f>
        <v>0</v>
      </c>
      <c r="AH13" s="34">
        <f>AF13*225*24</f>
        <v>0</v>
      </c>
      <c r="AI13" s="34">
        <f>AG13*140*24</f>
        <v>0</v>
      </c>
      <c r="AJ13" s="35">
        <f>AH13+AI13</f>
        <v>0</v>
      </c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</row>
    <row r="14" spans="1:53" s="5" customFormat="1" ht="19.5" hidden="1" customHeight="1">
      <c r="A14" s="37"/>
      <c r="B14" s="38"/>
      <c r="C14" s="39"/>
      <c r="D14" s="40"/>
      <c r="E14" s="18"/>
      <c r="F14" s="41"/>
      <c r="G14" s="18"/>
      <c r="H14" s="42"/>
      <c r="I14" s="43"/>
      <c r="J14" s="43"/>
      <c r="K14" s="43"/>
      <c r="L14" s="44"/>
      <c r="M14" s="43"/>
      <c r="N14" s="45"/>
      <c r="O14" s="46"/>
      <c r="P14" s="32"/>
      <c r="Q14" s="47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9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</row>
    <row r="15" spans="1:53" s="5" customFormat="1" ht="24.75" hidden="1" customHeight="1">
      <c r="A15" s="37"/>
      <c r="B15" s="39"/>
      <c r="C15" s="39"/>
      <c r="D15" s="50"/>
      <c r="E15" s="18"/>
      <c r="F15" s="41"/>
      <c r="G15" s="18"/>
      <c r="H15" s="51"/>
      <c r="I15" s="43"/>
      <c r="J15" s="52"/>
      <c r="K15" s="43"/>
      <c r="L15" s="19"/>
      <c r="M15" s="53"/>
      <c r="N15" s="43"/>
      <c r="O15" s="45"/>
      <c r="P15" s="32"/>
      <c r="Q15" s="47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9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</row>
    <row r="16" spans="1:53" s="5" customFormat="1" ht="21.75" hidden="1" customHeight="1">
      <c r="A16" s="54" t="s">
        <v>35</v>
      </c>
      <c r="B16" s="55"/>
      <c r="C16" s="55"/>
      <c r="D16" s="50"/>
      <c r="E16" s="18"/>
      <c r="F16" s="41"/>
      <c r="G16" s="18"/>
      <c r="H16" s="56"/>
      <c r="I16" s="43"/>
      <c r="J16" s="53"/>
      <c r="K16" s="43"/>
      <c r="L16" s="19"/>
      <c r="M16" s="53"/>
      <c r="N16" s="43"/>
      <c r="O16" s="45"/>
      <c r="P16" s="32"/>
      <c r="Q16" s="47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9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</row>
    <row r="17" spans="1:37">
      <c r="A17" s="57"/>
      <c r="L17" s="5"/>
      <c r="M17" s="5"/>
      <c r="N17" s="5"/>
      <c r="O17" s="5"/>
      <c r="AK17" s="65"/>
    </row>
    <row r="18" spans="1:37" ht="40.200000000000003">
      <c r="A18" s="57"/>
      <c r="B18" s="58" t="s">
        <v>36</v>
      </c>
      <c r="C18" s="58" t="s">
        <v>37</v>
      </c>
      <c r="D18" s="59" t="s">
        <v>38</v>
      </c>
      <c r="E18" s="60" t="s">
        <v>39</v>
      </c>
      <c r="F18" s="77" t="s">
        <v>61</v>
      </c>
      <c r="G18" s="77"/>
      <c r="H18" s="79" t="s">
        <v>71</v>
      </c>
      <c r="I18" s="79"/>
      <c r="J18" s="79"/>
      <c r="K18" s="79"/>
      <c r="L18" s="79"/>
      <c r="M18" s="77"/>
      <c r="N18" s="77"/>
      <c r="O18" s="77"/>
      <c r="P18" s="77"/>
    </row>
    <row r="19" spans="1:37" ht="13.8">
      <c r="A19" s="57"/>
      <c r="B19" s="61" t="s">
        <v>99</v>
      </c>
      <c r="C19" s="61">
        <v>31</v>
      </c>
      <c r="D19" s="67">
        <v>-14.5</v>
      </c>
      <c r="E19" s="63">
        <f>$L$13/($J$13-$K$13)*($J$13-D19)*24*C19</f>
        <v>30.961428356351941</v>
      </c>
      <c r="F19" s="77"/>
      <c r="G19" s="77"/>
      <c r="H19" s="79"/>
      <c r="I19" s="79"/>
      <c r="J19" s="79"/>
      <c r="K19" s="79"/>
      <c r="L19" s="79"/>
      <c r="M19" s="77"/>
      <c r="N19" s="77"/>
      <c r="O19" s="77"/>
      <c r="P19" s="77"/>
    </row>
    <row r="20" spans="1:37" ht="13.8">
      <c r="A20" s="57"/>
      <c r="B20" s="61" t="s">
        <v>100</v>
      </c>
      <c r="C20" s="61">
        <v>28</v>
      </c>
      <c r="D20" s="62">
        <v>-14.1</v>
      </c>
      <c r="E20" s="63">
        <f>$L$13/($J$13-$K$13)*($J$13-D20)*24*C20</f>
        <v>27.640927344221446</v>
      </c>
      <c r="F20" s="77" t="s">
        <v>62</v>
      </c>
      <c r="G20" s="77"/>
      <c r="H20" s="79"/>
      <c r="I20" s="79"/>
      <c r="J20" s="79"/>
      <c r="K20" s="79"/>
      <c r="L20" s="79"/>
      <c r="M20" s="79"/>
      <c r="N20" s="79"/>
      <c r="O20" s="77"/>
      <c r="P20" s="79"/>
    </row>
    <row r="21" spans="1:37" ht="13.8">
      <c r="A21" s="57"/>
      <c r="B21" s="61" t="s">
        <v>101</v>
      </c>
      <c r="C21" s="61">
        <v>31</v>
      </c>
      <c r="D21" s="67">
        <v>-11.4</v>
      </c>
      <c r="E21" s="63">
        <f>$L$13/($J$13-$K$13)*($J$13-D21)*24*C21</f>
        <v>28.179386967810167</v>
      </c>
      <c r="F21" s="77" t="s">
        <v>63</v>
      </c>
      <c r="G21" s="77"/>
      <c r="H21" s="79"/>
      <c r="I21" s="79"/>
      <c r="J21" s="79"/>
      <c r="K21" s="79"/>
      <c r="L21" s="79"/>
      <c r="M21" s="79"/>
      <c r="N21" s="79"/>
      <c r="O21" s="77"/>
      <c r="P21" s="79"/>
    </row>
    <row r="22" spans="1:37" ht="13.8">
      <c r="A22" s="57"/>
      <c r="B22" s="61" t="s">
        <v>102</v>
      </c>
      <c r="C22" s="61">
        <v>30</v>
      </c>
      <c r="D22" s="67">
        <v>-6.1</v>
      </c>
      <c r="E22" s="63">
        <f t="shared" ref="E22:E27" si="0">$L$13/($J$13-$K$13)*($J$13-D22)*24*C22</f>
        <v>22.667413186557802</v>
      </c>
      <c r="F22" s="77" t="s">
        <v>119</v>
      </c>
      <c r="G22" s="77"/>
      <c r="H22" s="79"/>
      <c r="I22" s="79"/>
      <c r="J22" s="79"/>
      <c r="K22" s="79"/>
      <c r="L22" s="79"/>
      <c r="M22" s="79"/>
      <c r="N22" s="79"/>
      <c r="O22" s="77"/>
      <c r="P22" s="79"/>
    </row>
    <row r="23" spans="1:37" ht="13.8">
      <c r="A23" s="57"/>
      <c r="B23" s="61" t="s">
        <v>47</v>
      </c>
      <c r="C23" s="61">
        <v>31</v>
      </c>
      <c r="D23" s="67">
        <v>1.1000000000000001</v>
      </c>
      <c r="E23" s="63">
        <f t="shared" si="0"/>
        <v>16.961478143044975</v>
      </c>
      <c r="F23" s="77" t="s">
        <v>69</v>
      </c>
      <c r="G23" s="77"/>
      <c r="H23" s="79"/>
      <c r="I23" s="79"/>
      <c r="J23" s="79"/>
      <c r="K23" s="79"/>
      <c r="L23" s="79"/>
      <c r="M23" s="79"/>
      <c r="N23" s="79"/>
      <c r="O23" s="77"/>
      <c r="P23" s="79"/>
    </row>
    <row r="24" spans="1:37" ht="13.8">
      <c r="A24" s="57"/>
      <c r="B24" s="61" t="s">
        <v>95</v>
      </c>
      <c r="C24" s="61">
        <v>30</v>
      </c>
      <c r="D24" s="67">
        <v>7.9</v>
      </c>
      <c r="E24" s="63">
        <f t="shared" si="0"/>
        <v>10.508647492618749</v>
      </c>
      <c r="F24" s="77" t="s">
        <v>72</v>
      </c>
      <c r="G24" s="77"/>
      <c r="H24" s="79"/>
      <c r="I24" s="79"/>
      <c r="J24" s="79"/>
      <c r="K24" s="79"/>
      <c r="L24" s="79"/>
      <c r="M24" s="79"/>
      <c r="N24" s="79"/>
      <c r="O24" s="77"/>
      <c r="P24" s="79"/>
    </row>
    <row r="25" spans="1:37" ht="13.8">
      <c r="A25" s="57"/>
      <c r="B25" s="61" t="s">
        <v>96</v>
      </c>
      <c r="C25" s="61">
        <v>0</v>
      </c>
      <c r="D25" s="67">
        <v>0</v>
      </c>
      <c r="E25" s="63">
        <f>$L$13/($J$13-$K$13)*($J$13-D25)*24*C25</f>
        <v>0</v>
      </c>
      <c r="F25" s="77" t="s">
        <v>68</v>
      </c>
      <c r="G25" s="77"/>
      <c r="H25" s="79"/>
      <c r="I25" s="79"/>
      <c r="J25" s="79"/>
      <c r="K25" s="79"/>
      <c r="L25" s="79"/>
      <c r="M25" s="75"/>
      <c r="N25" s="75"/>
      <c r="O25" s="77"/>
      <c r="P25" s="75"/>
    </row>
    <row r="26" spans="1:37">
      <c r="A26" s="57"/>
      <c r="B26" s="61" t="s">
        <v>103</v>
      </c>
      <c r="C26" s="61">
        <v>0</v>
      </c>
      <c r="D26" s="67">
        <v>0</v>
      </c>
      <c r="E26" s="63">
        <f t="shared" si="0"/>
        <v>0</v>
      </c>
      <c r="F26" s="77" t="s">
        <v>67</v>
      </c>
      <c r="G26" s="77"/>
      <c r="H26" s="75"/>
      <c r="I26" s="75"/>
      <c r="J26" s="75"/>
      <c r="K26" s="75"/>
      <c r="L26" s="75"/>
      <c r="M26" s="75"/>
      <c r="N26" s="75"/>
      <c r="O26" s="77"/>
      <c r="P26" s="75"/>
      <c r="Q26" s="75"/>
    </row>
    <row r="27" spans="1:37">
      <c r="A27" s="57"/>
      <c r="B27" s="61" t="s">
        <v>104</v>
      </c>
      <c r="C27" s="61">
        <v>16</v>
      </c>
      <c r="D27" s="134">
        <v>8.1999999999999993</v>
      </c>
      <c r="E27" s="63">
        <f t="shared" si="0"/>
        <v>5.4656546738468874</v>
      </c>
      <c r="F27" s="64"/>
      <c r="G27" s="77"/>
      <c r="H27" s="64"/>
      <c r="I27" s="65"/>
      <c r="O27" s="77"/>
    </row>
    <row r="28" spans="1:37">
      <c r="A28" s="57"/>
      <c r="B28" s="61" t="s">
        <v>105</v>
      </c>
      <c r="C28" s="61">
        <v>31</v>
      </c>
      <c r="D28" s="67">
        <v>1.2</v>
      </c>
      <c r="E28" s="63">
        <f>$L$13/($J$13-$K$13)*($J$13-D28)*24*C28</f>
        <v>16.871734872446854</v>
      </c>
      <c r="F28" s="5"/>
      <c r="G28" s="77"/>
      <c r="H28" s="64"/>
      <c r="I28" s="65"/>
      <c r="O28" s="77"/>
    </row>
    <row r="29" spans="1:37" ht="15">
      <c r="A29" s="57"/>
      <c r="B29" s="61" t="s">
        <v>106</v>
      </c>
      <c r="C29" s="61">
        <v>30</v>
      </c>
      <c r="D29" s="67">
        <v>-7</v>
      </c>
      <c r="E29" s="63">
        <f>$L$13/($J$13-$K$13)*($J$13-D29)*24*C29</f>
        <v>23.449048124025314</v>
      </c>
      <c r="F29" s="5"/>
      <c r="G29" s="77"/>
      <c r="H29" s="120"/>
      <c r="I29" s="147" t="s">
        <v>110</v>
      </c>
      <c r="O29" s="77"/>
    </row>
    <row r="30" spans="1:37">
      <c r="A30" s="57"/>
      <c r="B30" s="61" t="s">
        <v>107</v>
      </c>
      <c r="C30" s="61">
        <v>31</v>
      </c>
      <c r="D30" s="67">
        <v>-12.9</v>
      </c>
      <c r="E30" s="63">
        <f>$L$13/($J$13-$K$13)*($J$13-D30)*24*C30</f>
        <v>29.525536026781992</v>
      </c>
      <c r="F30" s="5"/>
      <c r="G30" s="77"/>
      <c r="H30" s="5"/>
      <c r="O30" s="77"/>
    </row>
    <row r="31" spans="1:37">
      <c r="A31" s="57"/>
      <c r="B31" s="61"/>
      <c r="C31" s="61"/>
      <c r="D31" s="67"/>
      <c r="E31" s="61"/>
      <c r="F31" s="5"/>
      <c r="G31" s="5"/>
      <c r="H31" s="5"/>
      <c r="O31" s="77"/>
    </row>
    <row r="32" spans="1:37" ht="15">
      <c r="A32" s="57"/>
      <c r="B32" s="61"/>
      <c r="C32" s="58">
        <f>SUM(C19:C31)</f>
        <v>289</v>
      </c>
      <c r="D32" s="143">
        <f>(C19*D19+C20*D20+C21*D21+C22*D22+C23*D23+C24*D24+C25*D25+C26*D26+C27*D27+C28*D28+C29*D29+C30*D30)/C32</f>
        <v>-5.3671280276816615</v>
      </c>
      <c r="E32" s="146">
        <f>SUM(E19:E30)</f>
        <v>212.23125518770615</v>
      </c>
      <c r="F32" s="66"/>
      <c r="G32" s="215" t="s">
        <v>111</v>
      </c>
      <c r="H32" s="215"/>
      <c r="I32" s="215"/>
      <c r="J32" s="215"/>
      <c r="K32" s="215"/>
      <c r="L32" s="215"/>
      <c r="M32" s="215"/>
      <c r="N32" s="215"/>
      <c r="O32" s="215"/>
    </row>
    <row r="33" spans="1:37">
      <c r="A33" s="57"/>
      <c r="G33" s="5" t="s">
        <v>112</v>
      </c>
      <c r="H33" s="66"/>
      <c r="M33" s="132"/>
      <c r="O33" s="131"/>
    </row>
    <row r="34" spans="1:37">
      <c r="A34" s="57"/>
      <c r="G34" s="5"/>
      <c r="O34" s="65"/>
    </row>
    <row r="35" spans="1:37" s="5" customFormat="1">
      <c r="A35" s="180"/>
      <c r="B35" s="181"/>
      <c r="C35" s="181"/>
      <c r="D35" s="96"/>
      <c r="E35" s="181"/>
      <c r="F35" s="181"/>
      <c r="H35" s="96"/>
      <c r="I35" s="96"/>
      <c r="J35" s="96"/>
      <c r="K35" s="96"/>
      <c r="L35" s="96"/>
      <c r="M35" s="96"/>
    </row>
    <row r="36" spans="1:37" s="5" customFormat="1" ht="13.8">
      <c r="A36" s="180"/>
      <c r="B36" s="97"/>
      <c r="C36" s="182"/>
      <c r="D36" s="97"/>
      <c r="E36" s="97"/>
      <c r="F36" s="97"/>
      <c r="H36" s="97"/>
      <c r="I36" s="97"/>
      <c r="J36" s="97"/>
      <c r="K36" s="97"/>
    </row>
    <row r="37" spans="1:37" s="5" customFormat="1">
      <c r="A37" s="180"/>
      <c r="D37" s="179"/>
    </row>
    <row r="38" spans="1:37" s="5" customFormat="1">
      <c r="A38" s="180"/>
      <c r="D38" s="179"/>
    </row>
    <row r="39" spans="1:37">
      <c r="B39" s="5"/>
      <c r="C39" s="5"/>
      <c r="G39" s="5"/>
      <c r="K39" s="5"/>
      <c r="L39" s="5"/>
      <c r="M39" s="5"/>
      <c r="N39" s="5"/>
    </row>
    <row r="40" spans="1:37">
      <c r="G40" s="5"/>
    </row>
    <row r="41" spans="1:37" ht="50.25" customHeight="1">
      <c r="B41" s="208" t="s">
        <v>151</v>
      </c>
      <c r="C41" s="208"/>
      <c r="D41" s="208"/>
      <c r="E41" s="208"/>
      <c r="F41" s="208"/>
      <c r="G41" s="208"/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/>
      <c r="AF41" s="208"/>
      <c r="AG41" s="208"/>
      <c r="AH41" s="208"/>
      <c r="AI41" s="208"/>
      <c r="AJ41" s="208"/>
      <c r="AK41" s="208"/>
    </row>
    <row r="42" spans="1:37" ht="15.6">
      <c r="B42" s="209" t="s">
        <v>143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  <c r="AD42" s="209"/>
      <c r="AE42" s="209"/>
      <c r="AF42" s="209"/>
      <c r="AG42" s="209"/>
      <c r="AH42" s="209"/>
      <c r="AI42" s="209"/>
      <c r="AJ42" s="209"/>
      <c r="AK42" s="209"/>
    </row>
    <row r="43" spans="1:37" ht="15.6">
      <c r="B43" s="195" t="s">
        <v>146</v>
      </c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</row>
    <row r="44" spans="1:37" ht="15.6">
      <c r="B44" s="195" t="s">
        <v>144</v>
      </c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</row>
    <row r="45" spans="1:37" ht="12.75" customHeight="1">
      <c r="B45" s="168" t="s">
        <v>145</v>
      </c>
      <c r="G45" s="5"/>
    </row>
    <row r="46" spans="1:37" ht="15.6">
      <c r="B46" s="195" t="s">
        <v>145</v>
      </c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</row>
    <row r="47" spans="1:37" ht="15.6"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</row>
    <row r="48" spans="1:37" ht="42" customHeight="1">
      <c r="B48" s="2" t="s">
        <v>147</v>
      </c>
      <c r="F48" s="173" t="s">
        <v>36</v>
      </c>
      <c r="G48" s="213" t="s">
        <v>149</v>
      </c>
      <c r="H48" s="213"/>
      <c r="I48" s="187"/>
      <c r="J48" s="5"/>
      <c r="K48" s="5"/>
      <c r="L48" s="187"/>
    </row>
    <row r="49" spans="2:38" ht="14.4">
      <c r="B49" s="61" t="s">
        <v>157</v>
      </c>
      <c r="C49" s="177">
        <v>238.92</v>
      </c>
      <c r="F49" s="61" t="s">
        <v>99</v>
      </c>
      <c r="G49" s="214">
        <f>E19*$C$49/$C$57</f>
        <v>14.863575918059007</v>
      </c>
      <c r="H49" s="214"/>
      <c r="I49" s="188"/>
      <c r="J49" s="5"/>
      <c r="K49" s="5"/>
      <c r="L49" s="189"/>
      <c r="M49" s="216"/>
      <c r="N49" s="216"/>
      <c r="AL49" s="2">
        <v>14.86</v>
      </c>
    </row>
    <row r="50" spans="2:38">
      <c r="B50" s="2" t="s">
        <v>148</v>
      </c>
      <c r="C50" s="176"/>
      <c r="F50" s="61" t="s">
        <v>100</v>
      </c>
      <c r="G50" s="214">
        <f t="shared" ref="G50:G60" si="1">E20*$C$49/$C$57</f>
        <v>13.269511254383115</v>
      </c>
      <c r="H50" s="214"/>
      <c r="I50" s="188"/>
      <c r="J50" s="5"/>
      <c r="K50" s="5"/>
      <c r="L50" s="5"/>
      <c r="M50" s="216"/>
      <c r="N50" s="216"/>
      <c r="AL50" s="2">
        <v>13.27</v>
      </c>
    </row>
    <row r="51" spans="2:38">
      <c r="B51" s="61" t="s">
        <v>153</v>
      </c>
      <c r="C51" s="177">
        <v>92.26</v>
      </c>
      <c r="F51" s="61" t="s">
        <v>101</v>
      </c>
      <c r="G51" s="214">
        <f t="shared" si="1"/>
        <v>13.528008226871092</v>
      </c>
      <c r="H51" s="214"/>
      <c r="I51" s="188"/>
      <c r="J51" s="5"/>
      <c r="K51" s="5"/>
      <c r="L51" s="5"/>
      <c r="M51" s="216"/>
      <c r="N51" s="216"/>
      <c r="AL51" s="2">
        <v>13.53</v>
      </c>
    </row>
    <row r="52" spans="2:38">
      <c r="B52" s="61" t="s">
        <v>154</v>
      </c>
      <c r="C52" s="178">
        <v>125.09</v>
      </c>
      <c r="F52" s="61" t="s">
        <v>102</v>
      </c>
      <c r="G52" s="214">
        <f t="shared" si="1"/>
        <v>10.881888680542497</v>
      </c>
      <c r="H52" s="214"/>
      <c r="I52" s="188"/>
      <c r="J52" s="5"/>
      <c r="K52" s="5"/>
      <c r="L52" s="5"/>
      <c r="M52" s="216"/>
      <c r="N52" s="216"/>
      <c r="AL52" s="2">
        <v>10.88</v>
      </c>
    </row>
    <row r="53" spans="2:38">
      <c r="B53" s="61" t="s">
        <v>155</v>
      </c>
      <c r="C53" s="177">
        <v>11.83</v>
      </c>
      <c r="F53" s="61" t="s">
        <v>47</v>
      </c>
      <c r="G53" s="214">
        <f t="shared" si="1"/>
        <v>8.1426546333714551</v>
      </c>
      <c r="H53" s="214"/>
      <c r="I53" s="188"/>
      <c r="J53" s="5"/>
      <c r="K53" s="5"/>
      <c r="L53" s="5"/>
      <c r="M53" s="216"/>
      <c r="N53" s="216"/>
      <c r="AL53" s="2">
        <v>8.14</v>
      </c>
    </row>
    <row r="54" spans="2:38" ht="15" customHeight="1">
      <c r="B54" s="61" t="s">
        <v>156</v>
      </c>
      <c r="C54" s="186">
        <v>29.58</v>
      </c>
      <c r="F54" s="61" t="s">
        <v>95</v>
      </c>
      <c r="G54" s="214">
        <f t="shared" si="1"/>
        <v>5.0448602695235323</v>
      </c>
      <c r="H54" s="214"/>
      <c r="I54" s="188"/>
      <c r="J54" s="5"/>
      <c r="K54" s="5"/>
      <c r="L54" s="5"/>
      <c r="M54" s="216"/>
      <c r="N54" s="216"/>
      <c r="AL54" s="2">
        <v>5.04</v>
      </c>
    </row>
    <row r="55" spans="2:38" ht="12.75" customHeight="1">
      <c r="B55" s="184"/>
      <c r="C55" s="185"/>
      <c r="F55" s="61" t="s">
        <v>96</v>
      </c>
      <c r="G55" s="214">
        <f t="shared" si="1"/>
        <v>0</v>
      </c>
      <c r="H55" s="214"/>
      <c r="I55" s="188"/>
      <c r="J55" s="5"/>
      <c r="K55" s="5"/>
      <c r="L55" s="5"/>
      <c r="M55" s="216"/>
      <c r="N55" s="216"/>
    </row>
    <row r="56" spans="2:38">
      <c r="B56" s="61"/>
      <c r="C56" s="178"/>
      <c r="F56" s="61" t="s">
        <v>103</v>
      </c>
      <c r="G56" s="214">
        <f t="shared" si="1"/>
        <v>0</v>
      </c>
      <c r="H56" s="214"/>
      <c r="I56" s="188"/>
      <c r="J56" s="5"/>
      <c r="K56" s="5"/>
      <c r="L56" s="5"/>
      <c r="M56" s="216"/>
      <c r="N56" s="216"/>
    </row>
    <row r="57" spans="2:38">
      <c r="C57" s="59">
        <f>SUM(C49:C56)</f>
        <v>497.67999999999995</v>
      </c>
      <c r="F57" s="61" t="s">
        <v>104</v>
      </c>
      <c r="G57" s="214">
        <f t="shared" si="1"/>
        <v>2.6238832476199532</v>
      </c>
      <c r="H57" s="214"/>
      <c r="I57" s="188"/>
      <c r="J57" s="5"/>
      <c r="K57" s="5"/>
      <c r="L57" s="5"/>
      <c r="M57" s="216"/>
      <c r="N57" s="216"/>
      <c r="AL57" s="2">
        <v>2.62</v>
      </c>
    </row>
    <row r="58" spans="2:38">
      <c r="F58" s="61" t="s">
        <v>105</v>
      </c>
      <c r="G58" s="214">
        <f t="shared" si="1"/>
        <v>8.0995718046234586</v>
      </c>
      <c r="H58" s="214"/>
      <c r="I58" s="188"/>
      <c r="J58" s="5"/>
      <c r="K58" s="5"/>
      <c r="L58" s="5"/>
      <c r="M58" s="216"/>
      <c r="N58" s="216"/>
      <c r="AL58" s="2">
        <v>8.1</v>
      </c>
    </row>
    <row r="59" spans="2:38">
      <c r="F59" s="61" t="s">
        <v>106</v>
      </c>
      <c r="G59" s="214">
        <f t="shared" si="1"/>
        <v>11.257126221250861</v>
      </c>
      <c r="H59" s="214"/>
      <c r="I59" s="188"/>
      <c r="J59" s="5"/>
      <c r="K59" s="5"/>
      <c r="L59" s="5"/>
      <c r="M59" s="216"/>
      <c r="N59" s="216"/>
      <c r="AL59" s="2">
        <v>11.26</v>
      </c>
    </row>
    <row r="60" spans="2:38">
      <c r="F60" s="61" t="s">
        <v>107</v>
      </c>
      <c r="G60" s="214">
        <f t="shared" si="1"/>
        <v>14.174250658091049</v>
      </c>
      <c r="H60" s="214"/>
      <c r="I60" s="188"/>
      <c r="J60" s="5"/>
      <c r="K60" s="5"/>
      <c r="L60" s="5"/>
      <c r="M60" s="216"/>
      <c r="N60" s="216"/>
      <c r="AL60" s="2">
        <v>14.17</v>
      </c>
    </row>
    <row r="61" spans="2:38">
      <c r="F61" s="58" t="s">
        <v>150</v>
      </c>
      <c r="G61" s="220">
        <f>SUM(G49:G60)-0.02</f>
        <v>101.86533091433604</v>
      </c>
      <c r="H61" s="220"/>
      <c r="I61" s="190"/>
      <c r="J61" s="5"/>
      <c r="K61" s="5"/>
      <c r="L61" s="5"/>
      <c r="M61" s="216"/>
      <c r="N61" s="216"/>
      <c r="AL61" s="65">
        <f>SUM(AL49:AL60)</f>
        <v>101.87</v>
      </c>
    </row>
    <row r="62" spans="2:38">
      <c r="I62" s="191"/>
      <c r="J62" s="5"/>
      <c r="K62" s="5"/>
      <c r="L62" s="5"/>
    </row>
    <row r="64" spans="2:38">
      <c r="B64" s="78" t="s">
        <v>64</v>
      </c>
      <c r="C64" s="78"/>
      <c r="D64" s="77"/>
      <c r="E64" s="78"/>
      <c r="F64" s="78"/>
      <c r="G64" s="5"/>
      <c r="H64" s="77"/>
      <c r="I64" s="77"/>
      <c r="J64" s="77"/>
      <c r="K64" s="77"/>
      <c r="L64" s="77"/>
      <c r="M64" s="77"/>
    </row>
    <row r="65" spans="2:37" ht="13.8">
      <c r="B65" s="75" t="s">
        <v>65</v>
      </c>
      <c r="C65" s="79"/>
      <c r="D65" s="75"/>
      <c r="E65" s="75"/>
      <c r="F65" s="75"/>
      <c r="G65" s="5"/>
      <c r="H65" s="75"/>
      <c r="I65" s="75"/>
      <c r="J65" s="75"/>
      <c r="K65" s="75" t="s">
        <v>66</v>
      </c>
    </row>
    <row r="66" spans="2:37">
      <c r="G66" s="5"/>
    </row>
    <row r="67" spans="2:37">
      <c r="B67" s="133"/>
      <c r="C67" s="133"/>
      <c r="D67" s="3" t="s">
        <v>97</v>
      </c>
      <c r="G67" s="5"/>
      <c r="K67" s="133"/>
      <c r="L67" s="133"/>
      <c r="M67" s="133"/>
      <c r="N67" s="133"/>
      <c r="O67" s="2" t="s">
        <v>164</v>
      </c>
    </row>
    <row r="71" spans="2:37">
      <c r="D71" s="172"/>
    </row>
    <row r="72" spans="2:37">
      <c r="D72" s="172"/>
    </row>
    <row r="73" spans="2:37">
      <c r="D73" s="172"/>
    </row>
    <row r="74" spans="2:37">
      <c r="D74" s="172"/>
    </row>
    <row r="75" spans="2:37">
      <c r="D75" s="172"/>
    </row>
    <row r="76" spans="2:37">
      <c r="D76" s="172"/>
    </row>
    <row r="77" spans="2:37">
      <c r="D77" s="172"/>
    </row>
    <row r="78" spans="2:37">
      <c r="D78" s="183"/>
    </row>
    <row r="79" spans="2:37">
      <c r="D79" s="183"/>
    </row>
    <row r="80" spans="2:37" ht="15.6" hidden="1"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N80" s="2" t="s">
        <v>85</v>
      </c>
      <c r="AK80" s="109" t="s">
        <v>109</v>
      </c>
    </row>
    <row r="81" spans="2:37" ht="15.6" hidden="1">
      <c r="B81" s="207" t="s">
        <v>94</v>
      </c>
      <c r="C81" s="207"/>
      <c r="D81" s="207"/>
      <c r="E81" s="207"/>
      <c r="F81" s="207"/>
      <c r="G81" s="207"/>
      <c r="H81" s="207"/>
      <c r="I81" s="80"/>
      <c r="J81" s="80"/>
      <c r="K81" s="80"/>
      <c r="L81" s="80"/>
    </row>
    <row r="82" spans="2:37" ht="15.6" hidden="1">
      <c r="B82" s="126" t="s">
        <v>158</v>
      </c>
      <c r="C82" s="126"/>
      <c r="D82" s="126"/>
      <c r="E82" s="126"/>
      <c r="F82" s="126"/>
      <c r="G82" s="126"/>
      <c r="H82"/>
      <c r="I82" s="80"/>
      <c r="J82" s="80"/>
      <c r="K82" s="80"/>
      <c r="L82" s="80"/>
    </row>
    <row r="83" spans="2:37" ht="15.6" hidden="1">
      <c r="B83" s="126" t="s">
        <v>139</v>
      </c>
      <c r="C83" s="126" t="s">
        <v>161</v>
      </c>
      <c r="D83" s="126"/>
      <c r="E83" s="126"/>
      <c r="F83" s="126"/>
      <c r="G83" s="126"/>
      <c r="H83"/>
      <c r="I83" s="80"/>
      <c r="J83" s="80"/>
      <c r="K83" s="80"/>
      <c r="L83" s="80"/>
    </row>
    <row r="84" spans="2:37" ht="15.6" hidden="1">
      <c r="B84" s="126" t="s">
        <v>140</v>
      </c>
      <c r="C84" s="126"/>
      <c r="D84" s="126" t="s">
        <v>152</v>
      </c>
      <c r="E84" s="126"/>
      <c r="F84" s="126"/>
      <c r="G84" s="126"/>
      <c r="H84"/>
      <c r="I84" s="80"/>
      <c r="J84" s="80"/>
      <c r="K84" s="80"/>
      <c r="L84" s="80"/>
    </row>
    <row r="85" spans="2:37" ht="15.6" hidden="1">
      <c r="B85" s="126"/>
      <c r="C85" s="126"/>
      <c r="D85" s="126"/>
      <c r="E85" s="126"/>
      <c r="F85" s="126"/>
      <c r="G85" s="126"/>
      <c r="H85"/>
      <c r="I85" s="80"/>
      <c r="J85" s="80"/>
      <c r="K85" s="80"/>
      <c r="L85" s="80"/>
    </row>
    <row r="86" spans="2:37" ht="15.6" hidden="1">
      <c r="B86" s="126"/>
      <c r="C86" s="126"/>
      <c r="D86" s="126"/>
      <c r="E86" s="126"/>
      <c r="F86" s="126"/>
      <c r="G86" s="126"/>
      <c r="H86"/>
      <c r="I86" s="80"/>
      <c r="J86" s="80"/>
      <c r="K86" s="80"/>
      <c r="L86" s="80"/>
    </row>
    <row r="87" spans="2:37" ht="13.8" hidden="1" thickBot="1"/>
    <row r="88" spans="2:37" hidden="1">
      <c r="B88" s="204" t="s">
        <v>1</v>
      </c>
      <c r="C88" s="204" t="s">
        <v>2</v>
      </c>
      <c r="D88" s="204" t="s">
        <v>3</v>
      </c>
      <c r="E88" s="204" t="s">
        <v>4</v>
      </c>
      <c r="F88" s="204" t="s">
        <v>5</v>
      </c>
      <c r="G88" s="204" t="s">
        <v>6</v>
      </c>
      <c r="H88" s="204" t="s">
        <v>70</v>
      </c>
      <c r="I88" s="204" t="s">
        <v>7</v>
      </c>
      <c r="J88" s="204" t="s">
        <v>8</v>
      </c>
      <c r="K88" s="204" t="s">
        <v>9</v>
      </c>
      <c r="L88" s="204" t="s">
        <v>10</v>
      </c>
      <c r="M88" s="204" t="s">
        <v>11</v>
      </c>
      <c r="N88" s="204" t="s">
        <v>12</v>
      </c>
      <c r="O88" s="204" t="s">
        <v>13</v>
      </c>
      <c r="P88" s="200" t="s">
        <v>14</v>
      </c>
      <c r="Q88" s="200" t="s">
        <v>15</v>
      </c>
      <c r="R88" s="200" t="s">
        <v>16</v>
      </c>
      <c r="S88" s="200" t="s">
        <v>17</v>
      </c>
      <c r="T88" s="200" t="s">
        <v>18</v>
      </c>
      <c r="U88" s="200" t="s">
        <v>19</v>
      </c>
      <c r="V88" s="200" t="s">
        <v>20</v>
      </c>
      <c r="W88" s="200" t="s">
        <v>21</v>
      </c>
      <c r="X88" s="200" t="s">
        <v>22</v>
      </c>
      <c r="Y88" s="200" t="s">
        <v>23</v>
      </c>
      <c r="Z88" s="200" t="s">
        <v>24</v>
      </c>
      <c r="AA88" s="200" t="s">
        <v>25</v>
      </c>
      <c r="AB88" s="200" t="s">
        <v>26</v>
      </c>
      <c r="AC88" s="200" t="s">
        <v>27</v>
      </c>
      <c r="AD88" s="200" t="s">
        <v>28</v>
      </c>
      <c r="AE88" s="200" t="s">
        <v>29</v>
      </c>
      <c r="AF88" s="200" t="s">
        <v>30</v>
      </c>
      <c r="AG88" s="200" t="s">
        <v>31</v>
      </c>
      <c r="AH88" s="200" t="s">
        <v>32</v>
      </c>
      <c r="AI88" s="200" t="s">
        <v>33</v>
      </c>
      <c r="AJ88" s="196" t="s">
        <v>34</v>
      </c>
      <c r="AK88" s="199"/>
    </row>
    <row r="89" spans="2:37" hidden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201"/>
      <c r="AI89" s="201"/>
      <c r="AJ89" s="197"/>
      <c r="AK89" s="199"/>
    </row>
    <row r="90" spans="2:37" hidden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1"/>
      <c r="Q90" s="201"/>
      <c r="R90" s="201"/>
      <c r="S90" s="201"/>
      <c r="T90" s="201"/>
      <c r="U90" s="201"/>
      <c r="V90" s="201"/>
      <c r="W90" s="201"/>
      <c r="X90" s="201"/>
      <c r="Y90" s="201"/>
      <c r="Z90" s="201"/>
      <c r="AA90" s="201"/>
      <c r="AB90" s="201"/>
      <c r="AC90" s="201"/>
      <c r="AD90" s="201"/>
      <c r="AE90" s="201"/>
      <c r="AF90" s="201"/>
      <c r="AG90" s="201"/>
      <c r="AH90" s="201"/>
      <c r="AI90" s="201"/>
      <c r="AJ90" s="197"/>
      <c r="AK90" s="199"/>
    </row>
    <row r="91" spans="2:37" ht="13.8" hidden="1" thickBot="1">
      <c r="B91" s="206"/>
      <c r="C91" s="206"/>
      <c r="D91" s="206"/>
      <c r="E91" s="206"/>
      <c r="F91" s="206"/>
      <c r="G91" s="206"/>
      <c r="H91" s="206"/>
      <c r="I91" s="206"/>
      <c r="J91" s="206"/>
      <c r="K91" s="206"/>
      <c r="L91" s="206"/>
      <c r="M91" s="206"/>
      <c r="N91" s="206"/>
      <c r="O91" s="206"/>
      <c r="P91" s="202"/>
      <c r="Q91" s="202"/>
      <c r="R91" s="202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  <c r="AF91" s="202"/>
      <c r="AG91" s="202"/>
      <c r="AH91" s="202"/>
      <c r="AI91" s="202"/>
      <c r="AJ91" s="198"/>
      <c r="AK91" s="199"/>
    </row>
    <row r="92" spans="2:37" ht="13.8" hidden="1" thickBot="1">
      <c r="B92" s="7" t="s">
        <v>162</v>
      </c>
      <c r="C92" s="8">
        <v>1994</v>
      </c>
      <c r="D92" s="8">
        <v>284</v>
      </c>
      <c r="E92" s="8">
        <v>3.5</v>
      </c>
      <c r="F92" s="9">
        <f>0.01*SQRT(2*9.81*E92*(1- (273+K92)/(273+J92))+G92*G92)</f>
        <v>7.6027171077513278E-2</v>
      </c>
      <c r="G92" s="8">
        <v>6.9</v>
      </c>
      <c r="H92" s="129">
        <f>1.3/POWER(D92,1/8)</f>
        <v>0.64162098523597555</v>
      </c>
      <c r="I92" s="8">
        <v>0.98</v>
      </c>
      <c r="J92" s="8">
        <v>10</v>
      </c>
      <c r="K92" s="8">
        <v>-32</v>
      </c>
      <c r="L92" s="9">
        <f>I92*D92*H92*(J92-K92)*(1+F92)*0.000001</f>
        <v>8.0704082386348561E-3</v>
      </c>
      <c r="M92" s="127">
        <f>D110</f>
        <v>-5.3972413793103451</v>
      </c>
      <c r="N92" s="8">
        <f>C110</f>
        <v>290</v>
      </c>
      <c r="O92" s="130">
        <f>L92*((J92-M92)/(J92-K92))*24*N92</f>
        <v>20.59199249551563</v>
      </c>
      <c r="P92" s="123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1"/>
      <c r="AF92" s="122"/>
      <c r="AG92" s="122"/>
      <c r="AH92" s="121"/>
      <c r="AI92" s="121"/>
      <c r="AJ92" s="125"/>
      <c r="AK92" s="124"/>
    </row>
    <row r="93" spans="2:37" ht="13.8" hidden="1" thickBot="1">
      <c r="B93" s="14"/>
      <c r="C93" s="15"/>
      <c r="D93" s="16"/>
      <c r="E93" s="16"/>
      <c r="F93" s="17"/>
      <c r="G93" s="18"/>
      <c r="H93" s="129"/>
      <c r="I93" s="16"/>
      <c r="J93" s="16"/>
      <c r="K93" s="16"/>
      <c r="L93" s="19"/>
      <c r="M93" s="16"/>
      <c r="N93" s="16"/>
      <c r="O93" s="81"/>
      <c r="P93" s="123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1"/>
      <c r="AF93" s="122"/>
      <c r="AG93" s="122"/>
      <c r="AH93" s="121"/>
      <c r="AI93" s="121"/>
      <c r="AJ93" s="125"/>
      <c r="AK93" s="124"/>
    </row>
    <row r="94" spans="2:37" ht="13.8" hidden="1" thickBot="1">
      <c r="B94" s="21"/>
      <c r="C94" s="22"/>
      <c r="D94" s="23"/>
      <c r="E94" s="24"/>
      <c r="F94" s="25"/>
      <c r="G94" s="26"/>
      <c r="H94" s="27"/>
      <c r="I94" s="28"/>
      <c r="J94" s="29">
        <f>J92</f>
        <v>10</v>
      </c>
      <c r="K94" s="29">
        <v>-32</v>
      </c>
      <c r="L94" s="30">
        <f>SUM(L92:L93)</f>
        <v>8.0704082386348561E-3</v>
      </c>
      <c r="M94" s="144">
        <f>M92</f>
        <v>-5.3972413793103451</v>
      </c>
      <c r="N94" s="31">
        <f>N92</f>
        <v>290</v>
      </c>
      <c r="O94" s="145">
        <f>SUM(O92:O93)</f>
        <v>20.59199249551563</v>
      </c>
      <c r="P94" s="32">
        <v>-17</v>
      </c>
      <c r="Q94" s="33">
        <f>16*N94</f>
        <v>4640</v>
      </c>
      <c r="R94" s="34" t="e">
        <f>D94*#REF!*(J94-P94)*0.000001</f>
        <v>#REF!</v>
      </c>
      <c r="S94" s="34" t="e">
        <f>D94*#REF!*(J94-M94)*Q94*0.000001</f>
        <v>#REF!</v>
      </c>
      <c r="T94" s="34">
        <v>0.2</v>
      </c>
      <c r="U94" s="34"/>
      <c r="V94" s="34">
        <v>5</v>
      </c>
      <c r="W94" s="34">
        <v>15</v>
      </c>
      <c r="X94" s="34">
        <v>0.8</v>
      </c>
      <c r="Y94" s="34">
        <f>((E94*U94*1*(55-V94))/24)*0.000001*(1+T94)</f>
        <v>0</v>
      </c>
      <c r="Z94" s="34">
        <f>((E94*U94*1*X94*(55-W94))/24)*0.000001*(1+T94)</f>
        <v>0</v>
      </c>
      <c r="AA94" s="34">
        <f>Y94+Z94</f>
        <v>0</v>
      </c>
      <c r="AB94" s="34"/>
      <c r="AC94" s="34">
        <f>AB94*AA94</f>
        <v>0</v>
      </c>
      <c r="AD94" s="34">
        <f>Y94*24*N94+Z94*24*(350-N94)</f>
        <v>0</v>
      </c>
      <c r="AE94" s="34">
        <f>(U94*N94+X94*U94*(350-N94))*E94*0.001</f>
        <v>0</v>
      </c>
      <c r="AF94" s="34">
        <f>(Y94*10^6)/(1000*(55-5))</f>
        <v>0</v>
      </c>
      <c r="AG94" s="34">
        <f>(Z94*10^6)/(1000*(55-15))</f>
        <v>0</v>
      </c>
      <c r="AH94" s="34">
        <f>AF94*225*24</f>
        <v>0</v>
      </c>
      <c r="AI94" s="34">
        <f>AG94*140*24</f>
        <v>0</v>
      </c>
      <c r="AJ94" s="35">
        <f>AH94+AI94</f>
        <v>0</v>
      </c>
      <c r="AK94" s="36"/>
    </row>
    <row r="95" spans="2:37" hidden="1">
      <c r="L95" s="5"/>
      <c r="M95" s="5"/>
      <c r="N95" s="5"/>
      <c r="O95" s="5"/>
      <c r="AK95" s="65"/>
    </row>
    <row r="96" spans="2:37" ht="40.200000000000003" hidden="1">
      <c r="B96" s="58" t="s">
        <v>36</v>
      </c>
      <c r="C96" s="58" t="s">
        <v>37</v>
      </c>
      <c r="D96" s="59" t="s">
        <v>38</v>
      </c>
      <c r="E96" s="60" t="s">
        <v>39</v>
      </c>
      <c r="F96" s="77" t="s">
        <v>61</v>
      </c>
      <c r="G96" s="77"/>
      <c r="H96" s="79" t="s">
        <v>71</v>
      </c>
      <c r="I96" s="79"/>
      <c r="J96" s="79"/>
      <c r="K96" s="79"/>
      <c r="L96" s="79"/>
      <c r="M96" s="77"/>
      <c r="N96" s="77"/>
      <c r="O96" s="77"/>
      <c r="P96" s="77"/>
    </row>
    <row r="97" spans="2:17" ht="13.8" hidden="1">
      <c r="B97" s="61" t="s">
        <v>99</v>
      </c>
      <c r="C97" s="61">
        <v>31</v>
      </c>
      <c r="D97" s="67">
        <v>-14.5</v>
      </c>
      <c r="E97" s="63">
        <f t="shared" ref="E97:E108" si="2">$L$94/($J$94-$K$94)*($J$94-D97)*24*C97</f>
        <v>3.502557175567528</v>
      </c>
      <c r="F97" s="77"/>
      <c r="G97" s="77"/>
      <c r="H97" s="79"/>
      <c r="I97" s="79"/>
      <c r="J97" s="79"/>
      <c r="K97" s="79"/>
      <c r="L97" s="79"/>
      <c r="M97" s="77"/>
      <c r="N97" s="77"/>
      <c r="O97" s="77"/>
      <c r="P97" s="77"/>
    </row>
    <row r="98" spans="2:17" ht="13.8" hidden="1">
      <c r="B98" s="61" t="s">
        <v>100</v>
      </c>
      <c r="C98" s="61">
        <v>29</v>
      </c>
      <c r="D98" s="62">
        <v>-14.1</v>
      </c>
      <c r="E98" s="63">
        <f t="shared" si="2"/>
        <v>3.223090467418229</v>
      </c>
      <c r="F98" s="77" t="s">
        <v>62</v>
      </c>
      <c r="G98" s="77"/>
      <c r="H98" s="79"/>
      <c r="I98" s="79"/>
      <c r="J98" s="79"/>
      <c r="K98" s="79"/>
      <c r="L98" s="79"/>
      <c r="M98" s="79"/>
      <c r="N98" s="79"/>
      <c r="O98" s="77"/>
      <c r="P98" s="79"/>
    </row>
    <row r="99" spans="2:17" ht="13.8" hidden="1">
      <c r="B99" s="61" t="s">
        <v>101</v>
      </c>
      <c r="C99" s="61">
        <v>31</v>
      </c>
      <c r="D99" s="67">
        <v>-11.4</v>
      </c>
      <c r="E99" s="63">
        <f t="shared" si="2"/>
        <v>3.0593764717202072</v>
      </c>
      <c r="F99" s="77" t="s">
        <v>63</v>
      </c>
      <c r="G99" s="77"/>
      <c r="H99" s="79"/>
      <c r="I99" s="79"/>
      <c r="J99" s="79"/>
      <c r="K99" s="79"/>
      <c r="L99" s="79"/>
      <c r="M99" s="79"/>
      <c r="N99" s="79"/>
      <c r="O99" s="77"/>
      <c r="P99" s="79"/>
    </row>
    <row r="100" spans="2:17" ht="13.8" hidden="1">
      <c r="B100" s="61" t="s">
        <v>102</v>
      </c>
      <c r="C100" s="61">
        <v>30</v>
      </c>
      <c r="D100" s="67">
        <v>-6.1</v>
      </c>
      <c r="E100" s="63">
        <f t="shared" si="2"/>
        <v>2.2274326738632206</v>
      </c>
      <c r="F100" s="77" t="s">
        <v>119</v>
      </c>
      <c r="G100" s="77"/>
      <c r="H100" s="79"/>
      <c r="I100" s="79"/>
      <c r="J100" s="79"/>
      <c r="K100" s="79"/>
      <c r="L100" s="79"/>
      <c r="M100" s="79"/>
      <c r="N100" s="79"/>
      <c r="O100" s="77"/>
      <c r="P100" s="79"/>
    </row>
    <row r="101" spans="2:17" ht="13.8" hidden="1">
      <c r="B101" s="61" t="s">
        <v>47</v>
      </c>
      <c r="C101" s="61">
        <v>31</v>
      </c>
      <c r="D101" s="67">
        <v>1.1000000000000001</v>
      </c>
      <c r="E101" s="63">
        <f t="shared" si="2"/>
        <v>1.2723575045939182</v>
      </c>
      <c r="F101" s="77" t="s">
        <v>69</v>
      </c>
      <c r="G101" s="77"/>
      <c r="H101" s="79"/>
      <c r="I101" s="79"/>
      <c r="J101" s="79"/>
      <c r="K101" s="79"/>
      <c r="L101" s="79"/>
      <c r="M101" s="79"/>
      <c r="N101" s="79"/>
      <c r="O101" s="77"/>
      <c r="P101" s="79"/>
    </row>
    <row r="102" spans="2:17" ht="13.8" hidden="1">
      <c r="B102" s="61" t="s">
        <v>95</v>
      </c>
      <c r="C102" s="61">
        <v>30</v>
      </c>
      <c r="D102" s="67">
        <v>7.9</v>
      </c>
      <c r="E102" s="63">
        <f t="shared" si="2"/>
        <v>0.29053469659085474</v>
      </c>
      <c r="F102" s="77" t="s">
        <v>72</v>
      </c>
      <c r="G102" s="77"/>
      <c r="H102" s="79"/>
      <c r="I102" s="79"/>
      <c r="J102" s="79"/>
      <c r="K102" s="79"/>
      <c r="L102" s="79"/>
      <c r="M102" s="79"/>
      <c r="N102" s="79"/>
      <c r="O102" s="77"/>
      <c r="P102" s="79"/>
    </row>
    <row r="103" spans="2:17" ht="13.8" hidden="1">
      <c r="B103" s="61" t="s">
        <v>96</v>
      </c>
      <c r="C103" s="61">
        <v>0</v>
      </c>
      <c r="D103" s="67">
        <v>0</v>
      </c>
      <c r="E103" s="63">
        <f t="shared" si="2"/>
        <v>0</v>
      </c>
      <c r="F103" s="77" t="s">
        <v>68</v>
      </c>
      <c r="G103" s="77"/>
      <c r="H103" s="79"/>
      <c r="I103" s="79"/>
      <c r="J103" s="79"/>
      <c r="K103" s="79"/>
      <c r="L103" s="79"/>
      <c r="M103" s="75"/>
      <c r="N103" s="75"/>
      <c r="O103" s="77"/>
      <c r="P103" s="75"/>
    </row>
    <row r="104" spans="2:17" hidden="1">
      <c r="B104" s="61" t="s">
        <v>103</v>
      </c>
      <c r="C104" s="61">
        <v>0</v>
      </c>
      <c r="D104" s="67">
        <v>0</v>
      </c>
      <c r="E104" s="63">
        <f t="shared" si="2"/>
        <v>0</v>
      </c>
      <c r="F104" s="77" t="s">
        <v>67</v>
      </c>
      <c r="G104" s="77"/>
      <c r="H104" s="75"/>
      <c r="I104" s="75"/>
      <c r="J104" s="75"/>
      <c r="K104" s="75"/>
      <c r="L104" s="75"/>
      <c r="M104" s="75"/>
      <c r="N104" s="75"/>
      <c r="O104" s="77"/>
      <c r="P104" s="75"/>
      <c r="Q104" s="75"/>
    </row>
    <row r="105" spans="2:17" hidden="1">
      <c r="B105" s="61" t="s">
        <v>104</v>
      </c>
      <c r="C105" s="61">
        <v>16</v>
      </c>
      <c r="D105" s="134">
        <v>8.1999999999999993</v>
      </c>
      <c r="E105" s="63">
        <f t="shared" si="2"/>
        <v>0.13281586129867656</v>
      </c>
      <c r="F105" s="64"/>
      <c r="G105" s="77"/>
      <c r="H105" s="64"/>
      <c r="I105" s="65"/>
      <c r="O105" s="77"/>
    </row>
    <row r="106" spans="2:17" ht="15" hidden="1">
      <c r="B106" s="61" t="s">
        <v>105</v>
      </c>
      <c r="C106" s="61">
        <v>31</v>
      </c>
      <c r="D106" s="67">
        <v>1.2</v>
      </c>
      <c r="E106" s="63">
        <f t="shared" si="2"/>
        <v>1.2580613528569078</v>
      </c>
      <c r="F106" s="5"/>
      <c r="G106" s="77"/>
      <c r="H106" s="120"/>
      <c r="I106" s="147" t="s">
        <v>110</v>
      </c>
      <c r="O106" s="77"/>
    </row>
    <row r="107" spans="2:17" hidden="1">
      <c r="B107" s="61" t="s">
        <v>106</v>
      </c>
      <c r="C107" s="61">
        <v>30</v>
      </c>
      <c r="D107" s="67">
        <v>-7</v>
      </c>
      <c r="E107" s="63">
        <f t="shared" si="2"/>
        <v>2.3519475438307289</v>
      </c>
      <c r="F107" s="5"/>
      <c r="G107" s="77"/>
      <c r="H107" s="5"/>
      <c r="O107" s="77"/>
    </row>
    <row r="108" spans="2:17" hidden="1">
      <c r="B108" s="61" t="s">
        <v>107</v>
      </c>
      <c r="C108" s="61">
        <v>31</v>
      </c>
      <c r="D108" s="67">
        <v>-12.9</v>
      </c>
      <c r="E108" s="63">
        <f t="shared" si="2"/>
        <v>3.2738187477753624</v>
      </c>
      <c r="F108" s="5"/>
      <c r="G108" s="5"/>
      <c r="H108" s="5"/>
      <c r="O108" s="77"/>
    </row>
    <row r="109" spans="2:17" ht="15" hidden="1">
      <c r="B109" s="61" t="s">
        <v>51</v>
      </c>
      <c r="C109" s="61"/>
      <c r="D109" s="67"/>
      <c r="E109" s="61"/>
      <c r="F109" s="5"/>
      <c r="G109" s="215" t="s">
        <v>111</v>
      </c>
      <c r="H109" s="215"/>
      <c r="I109" s="215"/>
      <c r="J109" s="215"/>
      <c r="K109" s="215"/>
      <c r="L109" s="215"/>
      <c r="M109" s="215"/>
      <c r="N109" s="215"/>
      <c r="O109" s="215"/>
    </row>
    <row r="110" spans="2:17" hidden="1">
      <c r="B110" s="61"/>
      <c r="C110" s="58">
        <f>SUM(C97:C109)</f>
        <v>290</v>
      </c>
      <c r="D110" s="143">
        <f>(C97*D97+C98*D98+C99*D99+C100*D100+C101*D101+C102*D102+C103*D103+C104*D104+C105*D105+C106*D106+C107*D107+C108*D108)/C110</f>
        <v>-5.3972413793103451</v>
      </c>
      <c r="E110" s="146">
        <f>SUM(E97:E108)</f>
        <v>20.591992495515633</v>
      </c>
      <c r="F110" s="66"/>
      <c r="G110" s="5" t="s">
        <v>112</v>
      </c>
      <c r="H110" s="66"/>
      <c r="M110" s="132"/>
      <c r="O110" s="131"/>
    </row>
    <row r="111" spans="2:17" hidden="1">
      <c r="G111" s="5"/>
    </row>
    <row r="112" spans="2:17" hidden="1">
      <c r="G112" s="5"/>
      <c r="O112" s="65"/>
    </row>
    <row r="113" spans="1:37" s="5" customFormat="1" hidden="1">
      <c r="A113" s="180"/>
      <c r="B113" s="181"/>
      <c r="C113" s="181"/>
      <c r="D113" s="96"/>
      <c r="E113" s="181"/>
      <c r="F113" s="181"/>
      <c r="H113" s="96"/>
      <c r="I113" s="96"/>
      <c r="J113" s="96"/>
      <c r="K113" s="96"/>
      <c r="L113" s="96"/>
      <c r="M113" s="96"/>
    </row>
    <row r="114" spans="1:37" s="5" customFormat="1" ht="13.8" hidden="1">
      <c r="A114" s="180"/>
      <c r="B114" s="97"/>
      <c r="C114" s="182"/>
      <c r="D114" s="97"/>
      <c r="E114" s="97"/>
      <c r="F114" s="97"/>
      <c r="H114" s="97"/>
      <c r="I114" s="97"/>
      <c r="J114" s="97"/>
      <c r="K114" s="97"/>
    </row>
    <row r="115" spans="1:37" s="5" customFormat="1" hidden="1">
      <c r="A115" s="180"/>
      <c r="D115" s="179"/>
    </row>
    <row r="116" spans="1:37" s="5" customFormat="1" hidden="1">
      <c r="A116" s="180"/>
      <c r="D116" s="179"/>
    </row>
    <row r="117" spans="1:37" hidden="1">
      <c r="G117" s="5"/>
    </row>
    <row r="118" spans="1:37" hidden="1"/>
    <row r="119" spans="1:37" hidden="1">
      <c r="D119" s="174"/>
    </row>
    <row r="120" spans="1:37" hidden="1">
      <c r="D120" s="183"/>
    </row>
    <row r="121" spans="1:37" hidden="1">
      <c r="D121" s="174"/>
    </row>
    <row r="122" spans="1:37" ht="36" hidden="1" customHeight="1">
      <c r="B122" s="208" t="s">
        <v>151</v>
      </c>
      <c r="C122" s="208"/>
      <c r="D122" s="208"/>
      <c r="E122" s="208"/>
      <c r="F122" s="208"/>
      <c r="G122" s="20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208"/>
      <c r="AK122" s="208"/>
    </row>
    <row r="123" spans="1:37" ht="15.6" hidden="1">
      <c r="B123" s="209" t="s">
        <v>143</v>
      </c>
      <c r="C123" s="209"/>
      <c r="D123" s="209"/>
      <c r="E123" s="209"/>
      <c r="F123" s="209"/>
      <c r="G123" s="209"/>
      <c r="H123" s="209"/>
      <c r="I123" s="209"/>
      <c r="J123" s="209"/>
      <c r="K123" s="209"/>
      <c r="L123" s="209"/>
      <c r="M123" s="209"/>
      <c r="N123" s="209"/>
      <c r="O123" s="209"/>
      <c r="P123" s="209"/>
      <c r="Q123" s="209"/>
      <c r="R123" s="209"/>
      <c r="S123" s="209"/>
      <c r="T123" s="209"/>
      <c r="U123" s="209"/>
      <c r="V123" s="209"/>
      <c r="W123" s="20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/>
      <c r="AH123" s="209"/>
      <c r="AI123" s="209"/>
      <c r="AJ123" s="209"/>
      <c r="AK123" s="209"/>
    </row>
    <row r="124" spans="1:37" ht="15.6" hidden="1">
      <c r="B124" s="195" t="s">
        <v>146</v>
      </c>
      <c r="C124" s="195"/>
      <c r="D124" s="195"/>
      <c r="E124" s="195"/>
      <c r="F124" s="195"/>
      <c r="G124" s="195"/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5"/>
      <c r="AK124" s="195"/>
    </row>
    <row r="125" spans="1:37" ht="15.6" hidden="1">
      <c r="B125" s="195" t="s">
        <v>144</v>
      </c>
      <c r="C125" s="195"/>
      <c r="D125" s="195"/>
      <c r="E125" s="195"/>
      <c r="F125" s="195"/>
      <c r="G125" s="195"/>
      <c r="H125" s="195"/>
      <c r="I125" s="195"/>
      <c r="J125" s="195"/>
      <c r="K125" s="195"/>
      <c r="L125" s="195"/>
      <c r="M125" s="195"/>
      <c r="N125" s="195"/>
      <c r="O125" s="195"/>
      <c r="P125" s="195"/>
      <c r="Q125" s="195"/>
      <c r="R125" s="195"/>
      <c r="S125" s="195"/>
      <c r="T125" s="195"/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5"/>
      <c r="AK125" s="195"/>
    </row>
    <row r="126" spans="1:37" ht="15.6" hidden="1">
      <c r="B126" s="195" t="s">
        <v>145</v>
      </c>
      <c r="C126" s="195"/>
      <c r="D126" s="195"/>
      <c r="E126" s="195"/>
      <c r="F126" s="195"/>
      <c r="G126" s="195"/>
      <c r="H126" s="195"/>
      <c r="I126" s="195"/>
      <c r="J126" s="195"/>
      <c r="K126" s="195"/>
      <c r="L126" s="195"/>
      <c r="M126" s="195"/>
      <c r="N126" s="195"/>
      <c r="O126" s="195"/>
      <c r="P126" s="195"/>
      <c r="Q126" s="195"/>
      <c r="R126" s="195"/>
      <c r="S126" s="195"/>
      <c r="T126" s="195"/>
      <c r="U126" s="195"/>
      <c r="V126" s="195"/>
      <c r="W126" s="195"/>
      <c r="X126" s="195"/>
      <c r="Y126" s="195"/>
      <c r="Z126" s="195"/>
      <c r="AA126" s="195"/>
      <c r="AB126" s="195"/>
      <c r="AC126" s="195"/>
      <c r="AD126" s="195"/>
      <c r="AE126" s="195"/>
      <c r="AF126" s="195"/>
      <c r="AG126" s="195"/>
      <c r="AH126" s="195"/>
      <c r="AI126" s="195"/>
      <c r="AJ126" s="195"/>
      <c r="AK126" s="195"/>
    </row>
    <row r="127" spans="1:37" ht="15.6" hidden="1">
      <c r="B127" s="195" t="s">
        <v>145</v>
      </c>
      <c r="C127" s="195"/>
      <c r="D127" s="195"/>
      <c r="E127" s="195"/>
      <c r="F127" s="195"/>
      <c r="G127" s="195"/>
      <c r="H127" s="195"/>
      <c r="I127" s="195"/>
      <c r="J127" s="195"/>
      <c r="K127" s="195"/>
      <c r="L127" s="195"/>
      <c r="M127" s="195"/>
      <c r="N127" s="195"/>
      <c r="O127" s="195"/>
      <c r="P127" s="195"/>
      <c r="Q127" s="195"/>
      <c r="R127" s="195"/>
      <c r="S127" s="195"/>
      <c r="T127" s="195"/>
      <c r="U127" s="195"/>
      <c r="V127" s="195"/>
      <c r="W127" s="195"/>
      <c r="X127" s="195"/>
      <c r="Y127" s="195"/>
      <c r="Z127" s="195"/>
      <c r="AA127" s="195"/>
      <c r="AB127" s="195"/>
      <c r="AC127" s="195"/>
      <c r="AD127" s="195"/>
      <c r="AE127" s="195"/>
      <c r="AF127" s="195"/>
      <c r="AG127" s="195"/>
      <c r="AH127" s="195"/>
      <c r="AI127" s="195"/>
      <c r="AJ127" s="195"/>
      <c r="AK127" s="195"/>
    </row>
    <row r="128" spans="1:37" ht="15.6" hidden="1">
      <c r="B128" s="175"/>
      <c r="C128" s="175"/>
      <c r="D128" s="175"/>
      <c r="E128" s="175"/>
      <c r="F128" s="175"/>
      <c r="G128" s="175"/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</row>
    <row r="129" spans="2:14" hidden="1">
      <c r="B129" s="2" t="s">
        <v>147</v>
      </c>
      <c r="D129" s="174"/>
      <c r="F129" s="173" t="s">
        <v>36</v>
      </c>
      <c r="G129" s="213" t="s">
        <v>149</v>
      </c>
      <c r="H129" s="213"/>
      <c r="I129" s="187"/>
      <c r="J129" s="5"/>
      <c r="K129" s="5"/>
      <c r="L129" s="187"/>
    </row>
    <row r="130" spans="2:14" ht="14.4" hidden="1">
      <c r="B130" s="61" t="s">
        <v>157</v>
      </c>
      <c r="C130" s="61">
        <v>27.2</v>
      </c>
      <c r="D130" s="174"/>
      <c r="F130" s="61" t="s">
        <v>99</v>
      </c>
      <c r="G130" s="214">
        <f>E97*$C$130/$C$138</f>
        <v>1.3475184607558242</v>
      </c>
      <c r="H130" s="214"/>
      <c r="I130" s="188"/>
      <c r="J130" s="5"/>
      <c r="K130" s="5"/>
      <c r="L130" s="189"/>
      <c r="M130" s="216"/>
      <c r="N130" s="216"/>
    </row>
    <row r="131" spans="2:14" hidden="1">
      <c r="B131" s="2" t="s">
        <v>148</v>
      </c>
      <c r="D131" s="174"/>
      <c r="F131" s="61" t="s">
        <v>100</v>
      </c>
      <c r="G131" s="214">
        <f t="shared" ref="G131:G141" si="3">E98*$C$130/$C$138</f>
        <v>1.2400008587521334</v>
      </c>
      <c r="H131" s="214"/>
      <c r="I131" s="188"/>
      <c r="J131" s="5"/>
      <c r="K131" s="5"/>
      <c r="L131" s="5"/>
      <c r="M131" s="216"/>
      <c r="N131" s="216"/>
    </row>
    <row r="132" spans="2:14" hidden="1">
      <c r="B132" s="221" t="s">
        <v>163</v>
      </c>
      <c r="C132" s="61">
        <f>70.7-C130</f>
        <v>43.5</v>
      </c>
      <c r="D132" s="174"/>
      <c r="F132" s="61" t="s">
        <v>101</v>
      </c>
      <c r="G132" s="214">
        <f t="shared" si="3"/>
        <v>1.1770161249050868</v>
      </c>
      <c r="H132" s="214"/>
      <c r="I132" s="188"/>
      <c r="J132" s="5"/>
      <c r="K132" s="5"/>
      <c r="L132" s="5"/>
      <c r="M132" s="216"/>
      <c r="N132" s="216"/>
    </row>
    <row r="133" spans="2:14" hidden="1">
      <c r="B133" s="222"/>
      <c r="C133" s="170"/>
      <c r="D133" s="174"/>
      <c r="F133" s="61" t="s">
        <v>102</v>
      </c>
      <c r="G133" s="214">
        <f t="shared" si="3"/>
        <v>0.85694722389080058</v>
      </c>
      <c r="H133" s="214"/>
      <c r="I133" s="188"/>
      <c r="J133" s="5"/>
      <c r="K133" s="5"/>
      <c r="L133" s="5"/>
      <c r="M133" s="216"/>
      <c r="N133" s="216"/>
    </row>
    <row r="134" spans="2:14" hidden="1">
      <c r="B134" s="223"/>
      <c r="C134" s="61"/>
      <c r="D134" s="174"/>
      <c r="F134" s="61" t="s">
        <v>47</v>
      </c>
      <c r="G134" s="214">
        <f t="shared" si="3"/>
        <v>0.48950670615211556</v>
      </c>
      <c r="H134" s="214"/>
      <c r="I134" s="188"/>
      <c r="J134" s="5"/>
      <c r="K134" s="5"/>
      <c r="L134" s="5"/>
      <c r="M134" s="216"/>
      <c r="N134" s="216"/>
    </row>
    <row r="135" spans="2:14" hidden="1">
      <c r="B135" s="61"/>
      <c r="C135" s="61"/>
      <c r="D135" s="174"/>
      <c r="F135" s="61" t="s">
        <v>95</v>
      </c>
      <c r="G135" s="214">
        <f t="shared" si="3"/>
        <v>0.11177572485532176</v>
      </c>
      <c r="H135" s="214"/>
      <c r="I135" s="188"/>
      <c r="J135" s="5"/>
      <c r="K135" s="5"/>
      <c r="L135" s="5"/>
      <c r="M135" s="216"/>
      <c r="N135" s="216"/>
    </row>
    <row r="136" spans="2:14" hidden="1">
      <c r="B136" s="171"/>
      <c r="C136" s="61"/>
      <c r="D136" s="174"/>
      <c r="F136" s="61" t="s">
        <v>96</v>
      </c>
      <c r="G136" s="214">
        <f t="shared" si="3"/>
        <v>0</v>
      </c>
      <c r="H136" s="214"/>
      <c r="I136" s="188"/>
      <c r="J136" s="5"/>
      <c r="K136" s="5"/>
      <c r="L136" s="5"/>
      <c r="M136" s="216"/>
      <c r="N136" s="216"/>
    </row>
    <row r="137" spans="2:14" hidden="1">
      <c r="B137" s="61"/>
      <c r="C137" s="170"/>
      <c r="D137" s="174"/>
      <c r="F137" s="61" t="s">
        <v>103</v>
      </c>
      <c r="G137" s="214">
        <f t="shared" si="3"/>
        <v>0</v>
      </c>
      <c r="H137" s="214"/>
      <c r="I137" s="188"/>
      <c r="J137" s="5"/>
      <c r="K137" s="5"/>
      <c r="L137" s="5"/>
      <c r="M137" s="216"/>
      <c r="N137" s="216"/>
    </row>
    <row r="138" spans="2:14" hidden="1">
      <c r="C138" s="58">
        <f>SUM(C130:C137)</f>
        <v>70.7</v>
      </c>
      <c r="D138" s="174"/>
      <c r="F138" s="61" t="s">
        <v>104</v>
      </c>
      <c r="G138" s="214">
        <f t="shared" si="3"/>
        <v>5.1097474219575709E-2</v>
      </c>
      <c r="H138" s="214"/>
      <c r="I138" s="188"/>
      <c r="J138" s="5"/>
      <c r="K138" s="5"/>
      <c r="L138" s="5"/>
      <c r="M138" s="216"/>
      <c r="N138" s="216"/>
    </row>
    <row r="139" spans="2:14" hidden="1">
      <c r="D139" s="174"/>
      <c r="F139" s="61" t="s">
        <v>105</v>
      </c>
      <c r="G139" s="214">
        <f t="shared" si="3"/>
        <v>0.48400663080209178</v>
      </c>
      <c r="H139" s="214"/>
      <c r="I139" s="188"/>
      <c r="J139" s="5"/>
      <c r="K139" s="5"/>
      <c r="L139" s="5"/>
      <c r="M139" s="216"/>
      <c r="N139" s="216"/>
    </row>
    <row r="140" spans="2:14" hidden="1">
      <c r="D140" s="174"/>
      <c r="F140" s="61" t="s">
        <v>106</v>
      </c>
      <c r="G140" s="214">
        <f t="shared" si="3"/>
        <v>0.9048511059716523</v>
      </c>
      <c r="H140" s="214"/>
      <c r="I140" s="188"/>
      <c r="J140" s="5"/>
      <c r="K140" s="5"/>
      <c r="L140" s="5"/>
      <c r="M140" s="216"/>
      <c r="N140" s="216"/>
    </row>
    <row r="141" spans="2:14" hidden="1">
      <c r="D141" s="174"/>
      <c r="F141" s="61" t="s">
        <v>107</v>
      </c>
      <c r="G141" s="214">
        <f t="shared" si="3"/>
        <v>1.2595172551554434</v>
      </c>
      <c r="H141" s="214"/>
      <c r="I141" s="188"/>
      <c r="J141" s="5"/>
      <c r="K141" s="5"/>
      <c r="L141" s="5"/>
      <c r="M141" s="216"/>
      <c r="N141" s="216"/>
    </row>
    <row r="142" spans="2:14" hidden="1">
      <c r="D142" s="174"/>
      <c r="F142" s="58" t="s">
        <v>150</v>
      </c>
      <c r="G142" s="220">
        <f>SUM(G130:G141)</f>
        <v>7.9222375654600459</v>
      </c>
      <c r="H142" s="220"/>
      <c r="I142" s="190"/>
      <c r="J142" s="5"/>
      <c r="K142" s="5"/>
      <c r="L142" s="5"/>
      <c r="M142" s="216"/>
      <c r="N142" s="216"/>
    </row>
    <row r="143" spans="2:14" hidden="1">
      <c r="D143" s="174"/>
      <c r="I143" s="191"/>
      <c r="J143" s="5"/>
      <c r="K143" s="5"/>
      <c r="L143" s="5"/>
    </row>
    <row r="144" spans="2:14" hidden="1">
      <c r="D144" s="174"/>
      <c r="I144" s="5"/>
      <c r="J144" s="5"/>
      <c r="K144" s="5"/>
      <c r="L144" s="5"/>
    </row>
    <row r="145" spans="2:15" hidden="1">
      <c r="B145" s="78" t="s">
        <v>64</v>
      </c>
      <c r="C145" s="78"/>
      <c r="D145" s="77"/>
      <c r="E145" s="78"/>
      <c r="F145" s="78"/>
      <c r="G145" s="5"/>
      <c r="H145" s="77"/>
      <c r="I145" s="77"/>
      <c r="J145" s="77"/>
      <c r="K145" s="77"/>
      <c r="L145" s="77"/>
      <c r="M145" s="77"/>
    </row>
    <row r="146" spans="2:15" ht="13.8" hidden="1">
      <c r="B146" s="75" t="s">
        <v>65</v>
      </c>
      <c r="C146" s="79"/>
      <c r="D146" s="75"/>
      <c r="E146" s="75"/>
      <c r="F146" s="75"/>
      <c r="G146" s="5"/>
      <c r="H146" s="75"/>
      <c r="I146" s="75"/>
      <c r="J146" s="75"/>
      <c r="K146" s="75" t="s">
        <v>66</v>
      </c>
    </row>
    <row r="147" spans="2:15" hidden="1">
      <c r="D147" s="174"/>
      <c r="G147" s="5"/>
    </row>
    <row r="148" spans="2:15" hidden="1">
      <c r="B148" s="133"/>
      <c r="C148" s="133"/>
      <c r="D148" s="174" t="s">
        <v>97</v>
      </c>
      <c r="G148" s="5"/>
      <c r="K148" s="133"/>
      <c r="L148" s="133"/>
      <c r="M148" s="133"/>
      <c r="N148" s="133"/>
      <c r="O148" s="2" t="s">
        <v>164</v>
      </c>
    </row>
    <row r="149" spans="2:15" hidden="1">
      <c r="D149" s="174"/>
    </row>
    <row r="150" spans="2:15" hidden="1">
      <c r="D150" s="174"/>
    </row>
    <row r="151" spans="2:15" hidden="1">
      <c r="D151" s="174"/>
    </row>
    <row r="152" spans="2:15" hidden="1">
      <c r="D152" s="174"/>
    </row>
    <row r="153" spans="2:15" hidden="1">
      <c r="D153" s="174"/>
    </row>
    <row r="154" spans="2:15" hidden="1">
      <c r="D154" s="174"/>
    </row>
    <row r="155" spans="2:15" hidden="1">
      <c r="D155" s="174"/>
    </row>
    <row r="156" spans="2:15" hidden="1">
      <c r="D156" s="174"/>
    </row>
    <row r="157" spans="2:15" hidden="1">
      <c r="D157" s="174"/>
    </row>
    <row r="158" spans="2:15" hidden="1">
      <c r="D158" s="174"/>
    </row>
    <row r="159" spans="2:15" hidden="1"/>
    <row r="160" spans="2:15" hidden="1"/>
    <row r="161" hidden="1"/>
    <row r="162" hidden="1"/>
  </sheetData>
  <protectedRanges>
    <protectedRange password="C14A" sqref="F18:P19 B2:F5 F20:F25 P20:P25 P26:Q26 H20:N26 F96:P97 F98:F103 P98:P103 P104:Q104 O98:O108 H98:N104 G98:G107 O20:O31 G20:G30 B81:F86" name="Диапазон1_4"/>
    <protectedRange password="C14A" sqref="B35:F36 H35:M35 H113:M113 H36:K36 B113:F114 H114:K114 B64:F65 H64:M64 H65:K65 B145:F146 H145:M145 H146:K146" name="Диапазон4_2_2"/>
  </protectedRanges>
  <mergeCells count="153">
    <mergeCell ref="G142:H142"/>
    <mergeCell ref="M142:N142"/>
    <mergeCell ref="B126:AK126"/>
    <mergeCell ref="G137:H137"/>
    <mergeCell ref="M137:N137"/>
    <mergeCell ref="G138:H138"/>
    <mergeCell ref="M138:N138"/>
    <mergeCell ref="G139:H139"/>
    <mergeCell ref="M139:N139"/>
    <mergeCell ref="G140:H140"/>
    <mergeCell ref="M140:N140"/>
    <mergeCell ref="G141:H141"/>
    <mergeCell ref="M141:N141"/>
    <mergeCell ref="G132:H132"/>
    <mergeCell ref="M132:N132"/>
    <mergeCell ref="G133:H133"/>
    <mergeCell ref="M133:N133"/>
    <mergeCell ref="G134:H134"/>
    <mergeCell ref="M134:N134"/>
    <mergeCell ref="G135:H135"/>
    <mergeCell ref="M135:N135"/>
    <mergeCell ref="G136:H136"/>
    <mergeCell ref="M136:N136"/>
    <mergeCell ref="B132:B134"/>
    <mergeCell ref="B122:AK122"/>
    <mergeCell ref="B123:AK123"/>
    <mergeCell ref="B124:AK124"/>
    <mergeCell ref="B125:AK125"/>
    <mergeCell ref="B127:AK127"/>
    <mergeCell ref="G129:H129"/>
    <mergeCell ref="G130:H130"/>
    <mergeCell ref="M130:N130"/>
    <mergeCell ref="G131:H131"/>
    <mergeCell ref="M131:N131"/>
    <mergeCell ref="A7:A10"/>
    <mergeCell ref="H7:H10"/>
    <mergeCell ref="G7:G10"/>
    <mergeCell ref="F7:F10"/>
    <mergeCell ref="E7:E10"/>
    <mergeCell ref="D7:D10"/>
    <mergeCell ref="N7:N10"/>
    <mergeCell ref="M7:M10"/>
    <mergeCell ref="B80:L80"/>
    <mergeCell ref="M61:N61"/>
    <mergeCell ref="G58:H58"/>
    <mergeCell ref="G59:H59"/>
    <mergeCell ref="G60:H60"/>
    <mergeCell ref="G61:H61"/>
    <mergeCell ref="M49:N49"/>
    <mergeCell ref="M50:N50"/>
    <mergeCell ref="M51:N51"/>
    <mergeCell ref="M52:N52"/>
    <mergeCell ref="M53:N53"/>
    <mergeCell ref="M54:N54"/>
    <mergeCell ref="M55:N55"/>
    <mergeCell ref="M56:N56"/>
    <mergeCell ref="M57:N57"/>
    <mergeCell ref="M58:N58"/>
    <mergeCell ref="AJ7:AJ10"/>
    <mergeCell ref="AK7:AK10"/>
    <mergeCell ref="G48:H48"/>
    <mergeCell ref="G49:H49"/>
    <mergeCell ref="G50:H50"/>
    <mergeCell ref="G51:H51"/>
    <mergeCell ref="G52:H52"/>
    <mergeCell ref="G109:O109"/>
    <mergeCell ref="G32:O32"/>
    <mergeCell ref="B81:H81"/>
    <mergeCell ref="B88:B91"/>
    <mergeCell ref="C88:C91"/>
    <mergeCell ref="D88:D91"/>
    <mergeCell ref="E88:E91"/>
    <mergeCell ref="M88:M91"/>
    <mergeCell ref="N88:N91"/>
    <mergeCell ref="O88:O91"/>
    <mergeCell ref="M59:N59"/>
    <mergeCell ref="M60:N60"/>
    <mergeCell ref="G53:H53"/>
    <mergeCell ref="G54:H54"/>
    <mergeCell ref="G55:H55"/>
    <mergeCell ref="G56:H56"/>
    <mergeCell ref="G57:H57"/>
    <mergeCell ref="S7:S10"/>
    <mergeCell ref="T7:T10"/>
    <mergeCell ref="U7:U10"/>
    <mergeCell ref="V7:V10"/>
    <mergeCell ref="W7:W10"/>
    <mergeCell ref="X7:X10"/>
    <mergeCell ref="Y7:Y10"/>
    <mergeCell ref="AS7:AS10"/>
    <mergeCell ref="AM7:AM10"/>
    <mergeCell ref="AN7:AN10"/>
    <mergeCell ref="AO7:AO10"/>
    <mergeCell ref="AP7:AP10"/>
    <mergeCell ref="AQ7:AQ10"/>
    <mergeCell ref="AR7:AR10"/>
    <mergeCell ref="AL7:AL10"/>
    <mergeCell ref="AA7:AA10"/>
    <mergeCell ref="AB7:AB10"/>
    <mergeCell ref="AC7:AC10"/>
    <mergeCell ref="AD7:AD10"/>
    <mergeCell ref="AE7:AE10"/>
    <mergeCell ref="AF7:AF10"/>
    <mergeCell ref="AG7:AG10"/>
    <mergeCell ref="AH7:AH10"/>
    <mergeCell ref="AI7:AI10"/>
    <mergeCell ref="B1:L1"/>
    <mergeCell ref="I7:I10"/>
    <mergeCell ref="J7:J10"/>
    <mergeCell ref="K7:K10"/>
    <mergeCell ref="L7:L10"/>
    <mergeCell ref="C7:C10"/>
    <mergeCell ref="B7:B10"/>
    <mergeCell ref="B2:H2"/>
    <mergeCell ref="F88:F91"/>
    <mergeCell ref="G88:G91"/>
    <mergeCell ref="H88:H91"/>
    <mergeCell ref="I88:I91"/>
    <mergeCell ref="J88:J91"/>
    <mergeCell ref="K88:K91"/>
    <mergeCell ref="L88:L91"/>
    <mergeCell ref="B41:AK41"/>
    <mergeCell ref="B42:AK42"/>
    <mergeCell ref="B43:AK43"/>
    <mergeCell ref="B44:AK44"/>
    <mergeCell ref="Z7:Z10"/>
    <mergeCell ref="O7:O10"/>
    <mergeCell ref="P7:P10"/>
    <mergeCell ref="Q7:Q10"/>
    <mergeCell ref="R7:R10"/>
    <mergeCell ref="B46:AK46"/>
    <mergeCell ref="AJ88:AJ91"/>
    <mergeCell ref="AK88:AK91"/>
    <mergeCell ref="AE88:AE91"/>
    <mergeCell ref="AF88:AF91"/>
    <mergeCell ref="AG88:AG91"/>
    <mergeCell ref="AH88:AH91"/>
    <mergeCell ref="AI88:AI91"/>
    <mergeCell ref="Z88:Z91"/>
    <mergeCell ref="AA88:AA91"/>
    <mergeCell ref="AB88:AB91"/>
    <mergeCell ref="AC88:AC91"/>
    <mergeCell ref="P88:P91"/>
    <mergeCell ref="Q88:Q91"/>
    <mergeCell ref="R88:R91"/>
    <mergeCell ref="S88:S91"/>
    <mergeCell ref="T88:T91"/>
    <mergeCell ref="AD88:AD91"/>
    <mergeCell ref="U88:U91"/>
    <mergeCell ref="V88:V91"/>
    <mergeCell ref="W88:W91"/>
    <mergeCell ref="X88:X91"/>
    <mergeCell ref="Y88:Y91"/>
  </mergeCells>
  <pageMargins left="0.39370078740157483" right="0" top="0.98425196850393704" bottom="0" header="0.31496062992125984" footer="0.31496062992125984"/>
  <pageSetup paperSize="9" scale="88" orientation="landscape" verticalDpi="18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104"/>
  <sheetViews>
    <sheetView tabSelected="1" view="pageBreakPreview" topLeftCell="A97" zoomScale="80" zoomScaleSheetLayoutView="80" workbookViewId="0">
      <selection activeCell="I111" sqref="I111"/>
    </sheetView>
  </sheetViews>
  <sheetFormatPr defaultRowHeight="14.4"/>
  <cols>
    <col min="1" max="1" width="6.44140625" customWidth="1"/>
    <col min="2" max="2" width="11.88671875" customWidth="1"/>
    <col min="3" max="3" width="8.88671875" customWidth="1"/>
    <col min="4" max="4" width="14.5546875" customWidth="1"/>
    <col min="5" max="5" width="10.5546875" customWidth="1"/>
    <col min="6" max="6" width="10.88671875" customWidth="1"/>
    <col min="7" max="7" width="12.109375" customWidth="1"/>
    <col min="8" max="8" width="16.44140625" customWidth="1"/>
    <col min="9" max="9" width="14.109375" customWidth="1"/>
    <col min="10" max="10" width="10.33203125" customWidth="1"/>
    <col min="11" max="11" width="10" customWidth="1"/>
    <col min="13" max="13" width="8.33203125" customWidth="1"/>
    <col min="14" max="14" width="14.33203125" customWidth="1"/>
    <col min="15" max="15" width="12.6640625" customWidth="1"/>
    <col min="16" max="16" width="6.44140625" customWidth="1"/>
    <col min="17" max="17" width="8.5546875" customWidth="1"/>
  </cols>
  <sheetData>
    <row r="1" spans="1:36">
      <c r="M1" s="254" t="s">
        <v>85</v>
      </c>
      <c r="N1" s="254"/>
      <c r="O1" s="108" t="s">
        <v>92</v>
      </c>
    </row>
    <row r="2" spans="1:36">
      <c r="A2" s="72"/>
      <c r="B2" s="73" t="s">
        <v>52</v>
      </c>
      <c r="C2" s="73"/>
      <c r="D2" s="73"/>
      <c r="E2" s="73"/>
      <c r="F2" s="73"/>
      <c r="G2" s="73"/>
      <c r="H2" s="73"/>
      <c r="I2" s="73"/>
      <c r="J2" s="73"/>
      <c r="K2" s="73"/>
      <c r="L2" s="74"/>
      <c r="M2" s="74"/>
      <c r="N2" s="74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5" thickBot="1">
      <c r="A3" s="75"/>
      <c r="B3" s="73"/>
      <c r="C3" s="73"/>
      <c r="D3" s="73"/>
      <c r="E3" s="73"/>
      <c r="F3" s="73"/>
      <c r="G3" s="76"/>
      <c r="H3" s="76"/>
      <c r="I3" s="76"/>
      <c r="J3" s="76"/>
      <c r="K3" s="73"/>
      <c r="L3" s="75"/>
      <c r="M3" s="75"/>
      <c r="N3" s="75"/>
      <c r="O3" s="68"/>
      <c r="P3" s="68"/>
      <c r="Q3" s="68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35" customHeight="1" thickBot="1">
      <c r="A4" s="117" t="s">
        <v>79</v>
      </c>
      <c r="B4" s="267" t="s">
        <v>53</v>
      </c>
      <c r="C4" s="267"/>
      <c r="D4" s="117" t="s">
        <v>54</v>
      </c>
      <c r="E4" s="115" t="s">
        <v>55</v>
      </c>
      <c r="F4" s="106" t="s">
        <v>87</v>
      </c>
      <c r="G4" s="106" t="s">
        <v>86</v>
      </c>
      <c r="H4" s="106" t="s">
        <v>90</v>
      </c>
      <c r="I4" s="118" t="s">
        <v>83</v>
      </c>
      <c r="J4" s="115" t="s">
        <v>89</v>
      </c>
      <c r="K4" s="117" t="s">
        <v>88</v>
      </c>
      <c r="L4" s="115" t="s">
        <v>60</v>
      </c>
      <c r="M4" s="117" t="s">
        <v>56</v>
      </c>
      <c r="N4" s="116" t="s">
        <v>84</v>
      </c>
      <c r="O4" s="255" t="s">
        <v>57</v>
      </c>
      <c r="P4" s="256"/>
      <c r="Q4" s="257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.75" customHeight="1" thickBot="1">
      <c r="A5" s="69">
        <v>1</v>
      </c>
      <c r="B5" s="244">
        <v>2</v>
      </c>
      <c r="C5" s="249"/>
      <c r="D5" s="69">
        <v>3</v>
      </c>
      <c r="E5" s="102">
        <v>4</v>
      </c>
      <c r="F5" s="70">
        <v>5</v>
      </c>
      <c r="G5" s="103">
        <v>6</v>
      </c>
      <c r="H5" s="103">
        <v>7</v>
      </c>
      <c r="I5" s="70">
        <v>7</v>
      </c>
      <c r="J5" s="104">
        <v>8</v>
      </c>
      <c r="K5" s="70">
        <v>9</v>
      </c>
      <c r="L5" s="70">
        <v>10</v>
      </c>
      <c r="M5" s="111">
        <v>11</v>
      </c>
      <c r="N5" s="69">
        <v>12</v>
      </c>
      <c r="O5" s="244">
        <v>13</v>
      </c>
      <c r="P5" s="245"/>
      <c r="Q5" s="246"/>
      <c r="R5" s="243"/>
      <c r="S5" s="243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18" customHeight="1">
      <c r="A6" s="259">
        <v>1</v>
      </c>
      <c r="B6" s="250"/>
      <c r="C6" s="251"/>
      <c r="D6" s="247"/>
      <c r="E6" s="247">
        <v>0</v>
      </c>
      <c r="F6" s="250">
        <v>2</v>
      </c>
      <c r="G6" s="268">
        <v>5</v>
      </c>
      <c r="H6" s="247">
        <f>E6*F6/1000</f>
        <v>0</v>
      </c>
      <c r="I6" s="112">
        <f>H6*(65-5)/1000</f>
        <v>0</v>
      </c>
      <c r="J6" s="247"/>
      <c r="K6" s="247"/>
      <c r="L6" s="247">
        <f>E6*G6*K6/1000</f>
        <v>0</v>
      </c>
      <c r="M6" s="113">
        <f>L6*(65-5)/1000</f>
        <v>0</v>
      </c>
      <c r="N6" s="114" t="e">
        <f>M6/K6/7</f>
        <v>#DIV/0!</v>
      </c>
      <c r="O6" s="261" t="s">
        <v>58</v>
      </c>
      <c r="P6" s="262"/>
      <c r="Q6" s="263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 thickBot="1">
      <c r="A7" s="260"/>
      <c r="B7" s="252"/>
      <c r="C7" s="253"/>
      <c r="D7" s="248"/>
      <c r="E7" s="248"/>
      <c r="F7" s="252"/>
      <c r="G7" s="269"/>
      <c r="H7" s="248"/>
      <c r="I7" s="110">
        <f>H6*(65-15)/1000</f>
        <v>0</v>
      </c>
      <c r="J7" s="248"/>
      <c r="K7" s="248"/>
      <c r="L7" s="248"/>
      <c r="M7" s="105">
        <f>L6*(65-15)/1000</f>
        <v>0</v>
      </c>
      <c r="N7" s="107" t="e">
        <f>M7/K6/J6</f>
        <v>#DIV/0!</v>
      </c>
      <c r="O7" s="264" t="s">
        <v>59</v>
      </c>
      <c r="P7" s="265"/>
      <c r="Q7" s="266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5" thickBot="1">
      <c r="A9" s="2"/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98.25" customHeight="1" thickBot="1">
      <c r="A10" s="88" t="s">
        <v>36</v>
      </c>
      <c r="B10" s="86" t="s">
        <v>78</v>
      </c>
      <c r="C10" s="71" t="s">
        <v>74</v>
      </c>
      <c r="D10" s="86" t="s">
        <v>75</v>
      </c>
      <c r="E10" s="87" t="s">
        <v>76</v>
      </c>
      <c r="F10" s="91" t="s">
        <v>73</v>
      </c>
      <c r="G10" s="86" t="s">
        <v>80</v>
      </c>
      <c r="H10" s="93" t="s">
        <v>81</v>
      </c>
      <c r="I10" s="86" t="s">
        <v>82</v>
      </c>
      <c r="J10" s="95"/>
      <c r="K10" s="95"/>
      <c r="L10" s="2"/>
      <c r="M10" s="2"/>
      <c r="N10" s="9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>
      <c r="A11" s="84" t="s">
        <v>40</v>
      </c>
      <c r="B11" s="84">
        <v>21</v>
      </c>
      <c r="C11" s="98">
        <f>G11*(65-5)/1000</f>
        <v>0</v>
      </c>
      <c r="D11" s="84"/>
      <c r="E11" s="84"/>
      <c r="F11" s="100">
        <f>G11*(65-5)/1000</f>
        <v>0</v>
      </c>
      <c r="G11" s="100">
        <f t="shared" ref="G11:G19" si="0">$E$6*$G$6*B11/1000</f>
        <v>0</v>
      </c>
      <c r="H11" s="119"/>
      <c r="I11" s="100">
        <f>H11+G11</f>
        <v>0</v>
      </c>
      <c r="J11" s="64"/>
      <c r="K11" s="5" t="s">
        <v>91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>
      <c r="A12" s="61" t="s">
        <v>41</v>
      </c>
      <c r="B12" s="61">
        <v>21</v>
      </c>
      <c r="C12" s="98">
        <f t="shared" ref="C12:C22" si="1">G12*(65-5)/1000</f>
        <v>0</v>
      </c>
      <c r="D12" s="63"/>
      <c r="E12" s="61"/>
      <c r="F12" s="100">
        <f>G12*(65-5)/1000</f>
        <v>0</v>
      </c>
      <c r="G12" s="100">
        <f t="shared" si="0"/>
        <v>0</v>
      </c>
      <c r="H12" s="94"/>
      <c r="I12" s="100">
        <f t="shared" ref="I12:I22" si="2">H12+G12</f>
        <v>0</v>
      </c>
      <c r="J12" s="64"/>
      <c r="K12" s="5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>
      <c r="A13" s="61" t="s">
        <v>42</v>
      </c>
      <c r="B13" s="61">
        <v>22</v>
      </c>
      <c r="C13" s="98">
        <f t="shared" si="1"/>
        <v>0</v>
      </c>
      <c r="D13" s="63"/>
      <c r="E13" s="61"/>
      <c r="F13" s="100">
        <f t="shared" ref="F13:F22" si="3">G13*(65-5)/1000</f>
        <v>0</v>
      </c>
      <c r="G13" s="100">
        <f t="shared" si="0"/>
        <v>0</v>
      </c>
      <c r="H13" s="94"/>
      <c r="I13" s="100">
        <f t="shared" si="2"/>
        <v>0</v>
      </c>
      <c r="J13" s="64"/>
      <c r="K13" s="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>
      <c r="A14" s="61" t="s">
        <v>43</v>
      </c>
      <c r="B14" s="61">
        <v>15</v>
      </c>
      <c r="C14" s="98">
        <f t="shared" si="1"/>
        <v>0</v>
      </c>
      <c r="D14" s="63"/>
      <c r="E14" s="61"/>
      <c r="F14" s="100">
        <f t="shared" si="3"/>
        <v>0</v>
      </c>
      <c r="G14" s="100">
        <f t="shared" si="0"/>
        <v>0</v>
      </c>
      <c r="H14" s="94"/>
      <c r="I14" s="100">
        <f t="shared" si="2"/>
        <v>0</v>
      </c>
      <c r="J14" s="64"/>
      <c r="K14" s="5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>
      <c r="A15" s="61" t="s">
        <v>44</v>
      </c>
      <c r="B15" s="61">
        <v>20</v>
      </c>
      <c r="C15" s="98">
        <f t="shared" si="1"/>
        <v>0</v>
      </c>
      <c r="D15" s="63"/>
      <c r="E15" s="61"/>
      <c r="F15" s="100">
        <f t="shared" si="3"/>
        <v>0</v>
      </c>
      <c r="G15" s="100">
        <f t="shared" si="0"/>
        <v>0</v>
      </c>
      <c r="H15" s="94"/>
      <c r="I15" s="100">
        <f t="shared" si="2"/>
        <v>0</v>
      </c>
      <c r="J15" s="64"/>
      <c r="K15" s="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>
      <c r="A16" s="61" t="s">
        <v>45</v>
      </c>
      <c r="B16" s="61">
        <v>21</v>
      </c>
      <c r="C16" s="98">
        <f t="shared" si="1"/>
        <v>0</v>
      </c>
      <c r="D16" s="63"/>
      <c r="E16" s="61"/>
      <c r="F16" s="100">
        <f t="shared" si="3"/>
        <v>0</v>
      </c>
      <c r="G16" s="100">
        <f t="shared" si="0"/>
        <v>0</v>
      </c>
      <c r="H16" s="94"/>
      <c r="I16" s="100">
        <f t="shared" si="2"/>
        <v>0</v>
      </c>
      <c r="J16" s="64"/>
      <c r="K16" s="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>
      <c r="A17" s="61" t="s">
        <v>46</v>
      </c>
      <c r="B17" s="61">
        <v>21</v>
      </c>
      <c r="C17" s="98">
        <f t="shared" si="1"/>
        <v>0</v>
      </c>
      <c r="D17" s="63"/>
      <c r="E17" s="61"/>
      <c r="F17" s="100">
        <f t="shared" si="3"/>
        <v>0</v>
      </c>
      <c r="G17" s="100">
        <f t="shared" si="0"/>
        <v>0</v>
      </c>
      <c r="H17" s="94"/>
      <c r="I17" s="100">
        <f t="shared" si="2"/>
        <v>0</v>
      </c>
      <c r="J17" s="64"/>
      <c r="K17" s="5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>
      <c r="A18" s="61" t="s">
        <v>47</v>
      </c>
      <c r="B18" s="61">
        <v>19</v>
      </c>
      <c r="C18" s="98">
        <f t="shared" si="1"/>
        <v>0</v>
      </c>
      <c r="D18" s="61"/>
      <c r="E18" s="99"/>
      <c r="F18" s="100">
        <f t="shared" si="3"/>
        <v>0</v>
      </c>
      <c r="G18" s="100">
        <f t="shared" si="0"/>
        <v>0</v>
      </c>
      <c r="H18" s="101"/>
      <c r="I18" s="100">
        <f t="shared" si="2"/>
        <v>0</v>
      </c>
      <c r="J18" s="64"/>
      <c r="K18" s="5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>
      <c r="A19" s="61" t="s">
        <v>48</v>
      </c>
      <c r="B19" s="61">
        <v>21</v>
      </c>
      <c r="C19" s="98">
        <f t="shared" si="1"/>
        <v>0</v>
      </c>
      <c r="D19" s="61"/>
      <c r="E19" s="99"/>
      <c r="F19" s="100">
        <f t="shared" si="3"/>
        <v>0</v>
      </c>
      <c r="G19" s="100">
        <f t="shared" si="0"/>
        <v>0</v>
      </c>
      <c r="H19" s="94"/>
      <c r="I19" s="100">
        <f t="shared" si="2"/>
        <v>0</v>
      </c>
      <c r="J19" s="64"/>
      <c r="K19" s="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>
      <c r="A20" s="61" t="s">
        <v>49</v>
      </c>
      <c r="B20" s="61"/>
      <c r="C20" s="98"/>
      <c r="D20" s="61"/>
      <c r="E20" s="99"/>
      <c r="F20" s="100"/>
      <c r="G20" s="100"/>
      <c r="H20" s="94"/>
      <c r="I20" s="100"/>
      <c r="J20" s="64"/>
      <c r="K20" s="96"/>
      <c r="L20" s="77"/>
      <c r="M20" s="77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>
      <c r="A21" s="61" t="s">
        <v>50</v>
      </c>
      <c r="B21" s="61"/>
      <c r="C21" s="98"/>
      <c r="D21" s="61"/>
      <c r="E21" s="99"/>
      <c r="F21" s="100"/>
      <c r="G21" s="100"/>
      <c r="H21" s="94"/>
      <c r="I21" s="100"/>
      <c r="J21" s="64"/>
      <c r="K21" s="97"/>
      <c r="L21" s="75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>
      <c r="A22" s="61" t="s">
        <v>51</v>
      </c>
      <c r="B22" s="61">
        <v>14</v>
      </c>
      <c r="C22" s="98">
        <f t="shared" si="1"/>
        <v>0</v>
      </c>
      <c r="D22" s="61"/>
      <c r="E22" s="99"/>
      <c r="F22" s="100">
        <f t="shared" si="3"/>
        <v>0</v>
      </c>
      <c r="G22" s="100">
        <f>$E$6*$G$6*B22/1000</f>
        <v>0</v>
      </c>
      <c r="H22" s="94"/>
      <c r="I22" s="100">
        <f t="shared" si="2"/>
        <v>0</v>
      </c>
      <c r="J22" s="64"/>
      <c r="K22" s="5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>
      <c r="A23" s="5" t="s">
        <v>77</v>
      </c>
      <c r="B23" s="85"/>
      <c r="C23" s="82"/>
      <c r="D23" s="83"/>
      <c r="F23" s="149">
        <f>SUM(F11:F22)+0.02</f>
        <v>0.02</v>
      </c>
      <c r="G23" s="192">
        <f>SUM(G11:G22)+0.03</f>
        <v>0.03</v>
      </c>
      <c r="I23" s="149">
        <f>SUM(I11:I22)+0.03</f>
        <v>0.03</v>
      </c>
    </row>
    <row r="25" spans="1:36">
      <c r="A25" s="78" t="s">
        <v>64</v>
      </c>
      <c r="B25" s="78"/>
      <c r="C25" s="77"/>
      <c r="D25" s="78"/>
      <c r="E25" s="78"/>
      <c r="F25" s="5"/>
      <c r="G25" s="77"/>
      <c r="H25" s="77"/>
      <c r="I25" s="77"/>
      <c r="J25" s="77"/>
      <c r="K25" s="77"/>
      <c r="L25" s="77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>
      <c r="A26" s="75" t="s">
        <v>65</v>
      </c>
      <c r="B26" s="79"/>
      <c r="C26" s="75"/>
      <c r="D26" s="75"/>
      <c r="E26" s="75"/>
      <c r="F26" s="5"/>
      <c r="G26" s="75"/>
      <c r="H26" s="75"/>
      <c r="I26" s="75"/>
      <c r="J26" s="75" t="s">
        <v>66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>
      <c r="A27" s="2"/>
      <c r="B27" s="2"/>
      <c r="C27" s="3"/>
      <c r="D27" s="2"/>
      <c r="E27" s="2"/>
      <c r="F27" s="5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>
      <c r="A28" s="133"/>
      <c r="B28" s="133"/>
      <c r="C28" s="3" t="s">
        <v>97</v>
      </c>
      <c r="D28" s="2"/>
      <c r="E28" s="2"/>
      <c r="F28" s="5"/>
      <c r="G28" s="2"/>
      <c r="H28" s="2"/>
      <c r="I28" s="2"/>
      <c r="J28" s="133"/>
      <c r="K28" s="133"/>
      <c r="L28" s="133"/>
      <c r="M28" s="133"/>
      <c r="N28" s="2" t="s">
        <v>165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>
      <c r="A29" s="75"/>
      <c r="B29" s="79"/>
      <c r="C29" s="75"/>
      <c r="D29" s="75"/>
      <c r="E29" s="75"/>
      <c r="F29" s="5"/>
      <c r="G29" s="75"/>
      <c r="H29" s="75"/>
      <c r="I29" s="75"/>
      <c r="J29" s="75"/>
      <c r="K29" s="75"/>
      <c r="L29" s="75"/>
    </row>
    <row r="30" spans="1:36">
      <c r="A30" s="75"/>
      <c r="B30" s="79"/>
      <c r="C30" s="75"/>
      <c r="D30" s="75"/>
      <c r="E30" s="75"/>
      <c r="F30" s="5"/>
      <c r="G30" s="75"/>
      <c r="H30" s="75"/>
      <c r="I30" s="75"/>
      <c r="J30" s="75"/>
      <c r="K30" s="75"/>
      <c r="L30" s="75"/>
    </row>
    <row r="37" spans="1:17" hidden="1"/>
    <row r="38" spans="1:17" hidden="1">
      <c r="M38" s="254" t="s">
        <v>85</v>
      </c>
      <c r="N38" s="254"/>
      <c r="O38" s="108" t="s">
        <v>114</v>
      </c>
    </row>
    <row r="39" spans="1:17" hidden="1">
      <c r="A39" s="72"/>
      <c r="B39" s="73" t="s">
        <v>52</v>
      </c>
      <c r="C39" s="73"/>
      <c r="D39" s="73"/>
      <c r="E39" s="73"/>
      <c r="F39" s="73"/>
      <c r="G39" s="73"/>
      <c r="H39" s="73"/>
      <c r="I39" s="73"/>
      <c r="J39" s="73"/>
      <c r="K39" s="73"/>
      <c r="L39" s="74"/>
      <c r="M39" s="74"/>
      <c r="N39" s="74"/>
    </row>
    <row r="40" spans="1:17" ht="15" hidden="1" thickBot="1">
      <c r="A40" s="75"/>
      <c r="B40" s="73"/>
      <c r="C40" s="73"/>
      <c r="D40" s="73"/>
      <c r="E40" s="73"/>
      <c r="F40" s="73"/>
      <c r="G40" s="76"/>
      <c r="H40" s="76"/>
      <c r="I40" s="76"/>
      <c r="J40" s="76"/>
      <c r="K40" s="73"/>
      <c r="L40" s="75"/>
      <c r="M40" s="75"/>
      <c r="N40" s="75"/>
      <c r="O40" s="68"/>
      <c r="P40" s="68"/>
      <c r="Q40" s="68"/>
    </row>
    <row r="41" spans="1:17" ht="119.4" hidden="1" thickBot="1">
      <c r="A41" s="117" t="s">
        <v>79</v>
      </c>
      <c r="B41" s="267" t="s">
        <v>53</v>
      </c>
      <c r="C41" s="267"/>
      <c r="D41" s="117" t="s">
        <v>54</v>
      </c>
      <c r="E41" s="135" t="s">
        <v>55</v>
      </c>
      <c r="F41" s="106" t="s">
        <v>87</v>
      </c>
      <c r="G41" s="106" t="s">
        <v>86</v>
      </c>
      <c r="H41" s="106" t="s">
        <v>90</v>
      </c>
      <c r="I41" s="118" t="s">
        <v>83</v>
      </c>
      <c r="J41" s="135" t="s">
        <v>89</v>
      </c>
      <c r="K41" s="117" t="s">
        <v>88</v>
      </c>
      <c r="L41" s="135" t="s">
        <v>60</v>
      </c>
      <c r="M41" s="117" t="s">
        <v>56</v>
      </c>
      <c r="N41" s="116" t="s">
        <v>84</v>
      </c>
      <c r="O41" s="255" t="s">
        <v>57</v>
      </c>
      <c r="P41" s="256"/>
      <c r="Q41" s="257"/>
    </row>
    <row r="42" spans="1:17" ht="15" hidden="1" thickBot="1">
      <c r="A42" s="69">
        <v>1</v>
      </c>
      <c r="B42" s="244">
        <v>2</v>
      </c>
      <c r="C42" s="249"/>
      <c r="D42" s="69">
        <v>3</v>
      </c>
      <c r="E42" s="137">
        <v>4</v>
      </c>
      <c r="F42" s="70">
        <v>5</v>
      </c>
      <c r="G42" s="140">
        <v>6</v>
      </c>
      <c r="H42" s="140">
        <v>7</v>
      </c>
      <c r="I42" s="70">
        <v>7</v>
      </c>
      <c r="J42" s="138">
        <v>8</v>
      </c>
      <c r="K42" s="70">
        <v>9</v>
      </c>
      <c r="L42" s="70">
        <v>10</v>
      </c>
      <c r="M42" s="139">
        <v>11</v>
      </c>
      <c r="N42" s="69">
        <v>12</v>
      </c>
      <c r="O42" s="244">
        <v>13</v>
      </c>
      <c r="P42" s="245"/>
      <c r="Q42" s="246"/>
    </row>
    <row r="43" spans="1:17" hidden="1">
      <c r="A43" s="259">
        <v>1</v>
      </c>
      <c r="B43" s="250" t="s">
        <v>108</v>
      </c>
      <c r="C43" s="251"/>
      <c r="D43" s="247" t="s">
        <v>113</v>
      </c>
      <c r="E43" s="247">
        <v>0</v>
      </c>
      <c r="F43" s="250">
        <v>1</v>
      </c>
      <c r="G43" s="268">
        <v>2.7</v>
      </c>
      <c r="H43" s="247">
        <f>E43*F43/1000</f>
        <v>0</v>
      </c>
      <c r="I43" s="112">
        <f>H43*(65-5)/1000</f>
        <v>0</v>
      </c>
      <c r="J43" s="247">
        <v>7</v>
      </c>
      <c r="K43" s="247">
        <f>220/9.5</f>
        <v>23.157894736842106</v>
      </c>
      <c r="L43" s="247">
        <f>E43*G43*K43/1000</f>
        <v>0</v>
      </c>
      <c r="M43" s="113">
        <f>L43*(65-5)/1000</f>
        <v>0</v>
      </c>
      <c r="N43" s="114">
        <f>M43/K43/7</f>
        <v>0</v>
      </c>
      <c r="O43" s="261" t="s">
        <v>58</v>
      </c>
      <c r="P43" s="262"/>
      <c r="Q43" s="263"/>
    </row>
    <row r="44" spans="1:17" ht="15" hidden="1" thickBot="1">
      <c r="A44" s="260"/>
      <c r="B44" s="252"/>
      <c r="C44" s="253"/>
      <c r="D44" s="248"/>
      <c r="E44" s="248"/>
      <c r="F44" s="252"/>
      <c r="G44" s="269"/>
      <c r="H44" s="248"/>
      <c r="I44" s="110">
        <f>H43*(65-15)/1000</f>
        <v>0</v>
      </c>
      <c r="J44" s="248"/>
      <c r="K44" s="248"/>
      <c r="L44" s="248"/>
      <c r="M44" s="105">
        <f>L43*(65-15)/1000</f>
        <v>0</v>
      </c>
      <c r="N44" s="107">
        <f>M44/K43/J43</f>
        <v>0</v>
      </c>
      <c r="O44" s="264" t="s">
        <v>59</v>
      </c>
      <c r="P44" s="265"/>
      <c r="Q44" s="266"/>
    </row>
    <row r="45" spans="1:17" hidden="1">
      <c r="A45" s="2"/>
      <c r="B45" s="2"/>
      <c r="C45" s="3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15" hidden="1" thickBot="1">
      <c r="A46" s="2"/>
      <c r="B46" s="2"/>
      <c r="C46" s="3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79.8" hidden="1" thickBot="1">
      <c r="A47" s="88" t="s">
        <v>36</v>
      </c>
      <c r="B47" s="86" t="s">
        <v>78</v>
      </c>
      <c r="C47" s="138" t="s">
        <v>74</v>
      </c>
      <c r="D47" s="86" t="s">
        <v>75</v>
      </c>
      <c r="E47" s="139" t="s">
        <v>76</v>
      </c>
      <c r="F47" s="137" t="s">
        <v>73</v>
      </c>
      <c r="G47" s="86" t="s">
        <v>80</v>
      </c>
      <c r="H47" s="93" t="s">
        <v>81</v>
      </c>
      <c r="I47" s="86" t="s">
        <v>82</v>
      </c>
      <c r="J47" s="136"/>
      <c r="K47" s="136"/>
      <c r="L47" s="2"/>
      <c r="M47" s="2"/>
      <c r="N47" s="92"/>
      <c r="O47" s="2"/>
      <c r="P47" s="2"/>
      <c r="Q47" s="2"/>
    </row>
    <row r="48" spans="1:17" hidden="1">
      <c r="A48" s="84" t="s">
        <v>40</v>
      </c>
      <c r="B48" s="84">
        <v>27</v>
      </c>
      <c r="C48" s="98">
        <f>G48*(65-5)/1000</f>
        <v>0</v>
      </c>
      <c r="D48" s="84"/>
      <c r="E48" s="84"/>
      <c r="F48" s="89">
        <f>G48*(65-5)/1000</f>
        <v>0</v>
      </c>
      <c r="G48" s="100">
        <f>$E$43*$G$43*B48/1000</f>
        <v>0</v>
      </c>
      <c r="H48" s="119"/>
      <c r="I48" s="100">
        <f>H48+G48</f>
        <v>0</v>
      </c>
      <c r="J48" s="64"/>
      <c r="K48" s="5" t="s">
        <v>91</v>
      </c>
      <c r="L48" s="2"/>
      <c r="M48" s="2"/>
      <c r="N48" s="2"/>
      <c r="O48" s="2"/>
      <c r="P48" s="2"/>
      <c r="Q48" s="2"/>
    </row>
    <row r="49" spans="1:36" hidden="1">
      <c r="A49" s="61" t="s">
        <v>41</v>
      </c>
      <c r="B49" s="61">
        <v>17</v>
      </c>
      <c r="C49" s="98">
        <f t="shared" ref="C49:C56" si="4">G49*(65-5)/1000</f>
        <v>0</v>
      </c>
      <c r="D49" s="63"/>
      <c r="E49" s="61"/>
      <c r="F49" s="89">
        <f>G49*(65-5)/1000</f>
        <v>0</v>
      </c>
      <c r="G49" s="100">
        <f t="shared" ref="G49:G59" si="5">$E$43*$G$43*B49/1000</f>
        <v>0</v>
      </c>
      <c r="H49" s="94"/>
      <c r="I49" s="100">
        <f t="shared" ref="I49:I56" si="6">H49+G49</f>
        <v>0</v>
      </c>
      <c r="J49" s="64"/>
      <c r="K49" s="5"/>
      <c r="L49" s="2"/>
      <c r="M49" s="2"/>
      <c r="N49" s="2"/>
      <c r="O49" s="2"/>
      <c r="P49" s="2"/>
      <c r="Q49" s="2"/>
    </row>
    <row r="50" spans="1:36" hidden="1">
      <c r="A50" s="61" t="s">
        <v>42</v>
      </c>
      <c r="B50" s="61">
        <v>26</v>
      </c>
      <c r="C50" s="98">
        <f t="shared" si="4"/>
        <v>0</v>
      </c>
      <c r="D50" s="63"/>
      <c r="E50" s="61"/>
      <c r="F50" s="89">
        <f t="shared" ref="F50:F59" si="7">G50*(65-5)/1000</f>
        <v>0</v>
      </c>
      <c r="G50" s="100">
        <f t="shared" si="5"/>
        <v>0</v>
      </c>
      <c r="H50" s="94"/>
      <c r="I50" s="100">
        <f t="shared" si="6"/>
        <v>0</v>
      </c>
      <c r="J50" s="64"/>
      <c r="K50" s="5"/>
      <c r="L50" s="2"/>
      <c r="M50" s="2"/>
      <c r="N50" s="2"/>
      <c r="O50" s="2"/>
      <c r="P50" s="2"/>
      <c r="Q50" s="2"/>
    </row>
    <row r="51" spans="1:36" hidden="1">
      <c r="A51" s="61" t="s">
        <v>43</v>
      </c>
      <c r="B51" s="61">
        <v>15</v>
      </c>
      <c r="C51" s="98">
        <f t="shared" si="4"/>
        <v>0</v>
      </c>
      <c r="D51" s="63"/>
      <c r="E51" s="61"/>
      <c r="F51" s="89">
        <f t="shared" si="7"/>
        <v>0</v>
      </c>
      <c r="G51" s="100">
        <f t="shared" si="5"/>
        <v>0</v>
      </c>
      <c r="H51" s="94"/>
      <c r="I51" s="100">
        <f t="shared" si="6"/>
        <v>0</v>
      </c>
      <c r="J51" s="64"/>
      <c r="K51" s="5"/>
      <c r="L51" s="2"/>
      <c r="M51" s="2"/>
      <c r="N51" s="2"/>
      <c r="O51" s="2"/>
      <c r="P51" s="2"/>
      <c r="Q51" s="2"/>
    </row>
    <row r="52" spans="1:36" hidden="1">
      <c r="A52" s="61" t="s">
        <v>44</v>
      </c>
      <c r="B52" s="61">
        <v>24</v>
      </c>
      <c r="C52" s="98">
        <f t="shared" si="4"/>
        <v>0</v>
      </c>
      <c r="D52" s="63"/>
      <c r="E52" s="61"/>
      <c r="F52" s="89">
        <f t="shared" si="7"/>
        <v>0</v>
      </c>
      <c r="G52" s="100">
        <f t="shared" si="5"/>
        <v>0</v>
      </c>
      <c r="H52" s="94"/>
      <c r="I52" s="100">
        <f t="shared" si="6"/>
        <v>0</v>
      </c>
      <c r="J52" s="64"/>
      <c r="K52" s="5"/>
      <c r="L52" s="2"/>
      <c r="M52" s="2"/>
      <c r="N52" s="2"/>
      <c r="O52" s="2"/>
      <c r="P52" s="2"/>
      <c r="Q52" s="2"/>
    </row>
    <row r="53" spans="1:36" hidden="1">
      <c r="A53" s="61" t="s">
        <v>45</v>
      </c>
      <c r="B53" s="61">
        <v>24</v>
      </c>
      <c r="C53" s="98">
        <f t="shared" si="4"/>
        <v>0</v>
      </c>
      <c r="D53" s="63"/>
      <c r="E53" s="61"/>
      <c r="F53" s="89">
        <f t="shared" si="7"/>
        <v>0</v>
      </c>
      <c r="G53" s="100">
        <f t="shared" si="5"/>
        <v>0</v>
      </c>
      <c r="H53" s="94"/>
      <c r="I53" s="100">
        <f t="shared" si="6"/>
        <v>0</v>
      </c>
      <c r="J53" s="64"/>
      <c r="K53" s="5"/>
      <c r="L53" s="2"/>
      <c r="M53" s="2"/>
      <c r="N53" s="2"/>
      <c r="O53" s="2"/>
      <c r="P53" s="2"/>
      <c r="Q53" s="2"/>
    </row>
    <row r="54" spans="1:36" hidden="1">
      <c r="A54" s="61" t="s">
        <v>46</v>
      </c>
      <c r="B54" s="61">
        <v>21</v>
      </c>
      <c r="C54" s="98">
        <f t="shared" si="4"/>
        <v>0</v>
      </c>
      <c r="D54" s="63"/>
      <c r="E54" s="61"/>
      <c r="F54" s="89">
        <f t="shared" si="7"/>
        <v>0</v>
      </c>
      <c r="G54" s="100">
        <f t="shared" si="5"/>
        <v>0</v>
      </c>
      <c r="H54" s="94"/>
      <c r="I54" s="100">
        <f t="shared" si="6"/>
        <v>0</v>
      </c>
      <c r="J54" s="64"/>
      <c r="K54" s="5"/>
      <c r="L54" s="2"/>
      <c r="M54" s="2"/>
      <c r="N54" s="2"/>
      <c r="O54" s="2"/>
      <c r="P54" s="2"/>
      <c r="Q54" s="2"/>
    </row>
    <row r="55" spans="1:36" hidden="1">
      <c r="A55" s="61" t="s">
        <v>47</v>
      </c>
      <c r="B55" s="61">
        <v>26</v>
      </c>
      <c r="C55" s="98">
        <f t="shared" si="4"/>
        <v>0</v>
      </c>
      <c r="D55" s="61"/>
      <c r="E55" s="99"/>
      <c r="F55" s="89">
        <f t="shared" si="7"/>
        <v>0</v>
      </c>
      <c r="G55" s="100">
        <f t="shared" si="5"/>
        <v>0</v>
      </c>
      <c r="H55" s="101"/>
      <c r="I55" s="100">
        <f t="shared" si="6"/>
        <v>0</v>
      </c>
      <c r="J55" s="64"/>
      <c r="K55" s="5"/>
      <c r="L55" s="2"/>
      <c r="M55" s="2"/>
      <c r="N55" s="2"/>
      <c r="O55" s="2"/>
      <c r="P55" s="2"/>
      <c r="Q55" s="2"/>
    </row>
    <row r="56" spans="1:36" hidden="1">
      <c r="A56" s="61" t="s">
        <v>48</v>
      </c>
      <c r="B56" s="61">
        <v>26</v>
      </c>
      <c r="C56" s="98">
        <f t="shared" si="4"/>
        <v>0</v>
      </c>
      <c r="D56" s="61"/>
      <c r="E56" s="99"/>
      <c r="F56" s="89">
        <f t="shared" si="7"/>
        <v>0</v>
      </c>
      <c r="G56" s="100">
        <f t="shared" si="5"/>
        <v>0</v>
      </c>
      <c r="H56" s="94"/>
      <c r="I56" s="100">
        <f t="shared" si="6"/>
        <v>0</v>
      </c>
      <c r="J56" s="64"/>
      <c r="K56" s="5"/>
      <c r="L56" s="2"/>
      <c r="M56" s="2"/>
      <c r="N56" s="2"/>
      <c r="O56" s="2"/>
      <c r="P56" s="2"/>
      <c r="Q56" s="2"/>
    </row>
    <row r="57" spans="1:36" hidden="1">
      <c r="A57" s="61" t="s">
        <v>49</v>
      </c>
      <c r="B57" s="61"/>
      <c r="C57" s="98"/>
      <c r="D57" s="61"/>
      <c r="E57" s="99"/>
      <c r="F57" s="89"/>
      <c r="G57" s="100"/>
      <c r="H57" s="94"/>
      <c r="I57" s="100"/>
      <c r="J57" s="64"/>
      <c r="K57" s="96"/>
      <c r="L57" s="77"/>
      <c r="M57" s="77"/>
      <c r="N57" s="2"/>
      <c r="O57" s="2"/>
      <c r="P57" s="2"/>
      <c r="Q57" s="2"/>
    </row>
    <row r="58" spans="1:36" hidden="1">
      <c r="A58" s="61" t="s">
        <v>50</v>
      </c>
      <c r="B58" s="61"/>
      <c r="C58" s="98"/>
      <c r="D58" s="61"/>
      <c r="E58" s="99"/>
      <c r="F58" s="89"/>
      <c r="G58" s="100"/>
      <c r="H58" s="94"/>
      <c r="I58" s="100"/>
      <c r="J58" s="64"/>
      <c r="K58" s="97"/>
      <c r="L58" s="75"/>
      <c r="M58" s="2"/>
      <c r="N58" s="2"/>
      <c r="O58" s="2"/>
      <c r="P58" s="2"/>
      <c r="Q58" s="2"/>
    </row>
    <row r="59" spans="1:36" hidden="1">
      <c r="A59" s="61" t="s">
        <v>51</v>
      </c>
      <c r="B59" s="61">
        <v>14</v>
      </c>
      <c r="C59" s="98">
        <f t="shared" ref="C59" si="8">G59*(65-5)/1000</f>
        <v>0</v>
      </c>
      <c r="D59" s="61"/>
      <c r="E59" s="99"/>
      <c r="F59" s="89">
        <f t="shared" si="7"/>
        <v>0</v>
      </c>
      <c r="G59" s="100">
        <f t="shared" si="5"/>
        <v>0</v>
      </c>
      <c r="H59" s="94"/>
      <c r="I59" s="100">
        <f t="shared" ref="I59" si="9">H59+G59</f>
        <v>0</v>
      </c>
      <c r="J59" s="64"/>
      <c r="K59" s="5"/>
      <c r="L59" s="2"/>
      <c r="M59" s="2"/>
      <c r="N59" s="2"/>
      <c r="O59" s="2"/>
      <c r="P59" s="2"/>
      <c r="Q59" s="2"/>
    </row>
    <row r="60" spans="1:36" hidden="1">
      <c r="A60" s="5" t="s">
        <v>77</v>
      </c>
      <c r="B60" s="85"/>
      <c r="C60" s="82"/>
      <c r="D60" s="83"/>
      <c r="F60" s="90">
        <f>SUM(F48:F59)</f>
        <v>0</v>
      </c>
      <c r="G60" s="148">
        <f>SUM(G48:G59)</f>
        <v>0</v>
      </c>
      <c r="I60" s="149">
        <f>SUM(I48:I59)</f>
        <v>0</v>
      </c>
    </row>
    <row r="61" spans="1:36" hidden="1"/>
    <row r="62" spans="1:36" hidden="1">
      <c r="A62" s="78" t="s">
        <v>64</v>
      </c>
      <c r="B62" s="78"/>
      <c r="C62" s="77"/>
      <c r="D62" s="78"/>
      <c r="E62" s="78"/>
      <c r="F62" s="5"/>
      <c r="G62" s="77"/>
      <c r="H62" s="77"/>
      <c r="I62" s="77"/>
      <c r="J62" s="77"/>
      <c r="K62" s="77"/>
      <c r="L62" s="77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hidden="1">
      <c r="A63" s="75" t="s">
        <v>65</v>
      </c>
      <c r="B63" s="79"/>
      <c r="C63" s="75"/>
      <c r="D63" s="75"/>
      <c r="E63" s="75"/>
      <c r="F63" s="5"/>
      <c r="G63" s="75"/>
      <c r="H63" s="75"/>
      <c r="I63" s="75"/>
      <c r="J63" s="75" t="s">
        <v>66</v>
      </c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hidden="1">
      <c r="A64" s="2"/>
      <c r="B64" s="2"/>
      <c r="C64" s="3"/>
      <c r="D64" s="2"/>
      <c r="E64" s="2"/>
      <c r="F64" s="5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hidden="1">
      <c r="A65" s="133"/>
      <c r="B65" s="133"/>
      <c r="C65" s="3" t="s">
        <v>97</v>
      </c>
      <c r="D65" s="2"/>
      <c r="E65" s="2"/>
      <c r="F65" s="5"/>
      <c r="G65" s="2"/>
      <c r="H65" s="2"/>
      <c r="I65" s="2"/>
      <c r="J65" s="133"/>
      <c r="K65" s="133"/>
      <c r="L65" s="133"/>
      <c r="M65" s="133"/>
      <c r="N65" s="2" t="s">
        <v>98</v>
      </c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hidden="1"/>
    <row r="67" spans="1:36" hidden="1"/>
    <row r="68" spans="1:36" hidden="1"/>
    <row r="69" spans="1:36" hidden="1"/>
    <row r="70" spans="1:36" hidden="1"/>
    <row r="71" spans="1:36" hidden="1"/>
    <row r="72" spans="1:36" hidden="1"/>
    <row r="73" spans="1:36" hidden="1"/>
    <row r="74" spans="1:36" hidden="1"/>
    <row r="75" spans="1:36" hidden="1"/>
    <row r="78" spans="1:36">
      <c r="H78" s="272" t="s">
        <v>138</v>
      </c>
    </row>
    <row r="79" spans="1:36">
      <c r="B79" s="150" t="s">
        <v>115</v>
      </c>
      <c r="H79" s="272"/>
      <c r="I79" t="s">
        <v>127</v>
      </c>
    </row>
    <row r="80" spans="1:36">
      <c r="G80" t="s">
        <v>118</v>
      </c>
      <c r="H80" s="273"/>
      <c r="I80" t="s">
        <v>142</v>
      </c>
    </row>
    <row r="81" spans="2:17">
      <c r="B81" s="270" t="s">
        <v>83</v>
      </c>
      <c r="C81" s="270"/>
      <c r="D81" s="270"/>
      <c r="E81" s="270"/>
      <c r="F81" s="270"/>
      <c r="G81" s="151"/>
      <c r="H81" s="151">
        <f>I43</f>
        <v>0</v>
      </c>
      <c r="I81" s="151" t="e">
        <f>N6*1000/55</f>
        <v>#DIV/0!</v>
      </c>
    </row>
    <row r="82" spans="2:17">
      <c r="B82" s="270" t="s">
        <v>116</v>
      </c>
      <c r="C82" s="270"/>
      <c r="D82" s="270"/>
      <c r="E82" s="270"/>
      <c r="F82" s="270"/>
      <c r="G82" s="151"/>
      <c r="H82" s="151">
        <f>40*G82</f>
        <v>0</v>
      </c>
      <c r="I82" s="151"/>
    </row>
    <row r="83" spans="2:17">
      <c r="B83" s="271" t="s">
        <v>117</v>
      </c>
      <c r="C83" s="271"/>
      <c r="D83" s="271"/>
      <c r="E83" s="271"/>
      <c r="F83" s="271"/>
      <c r="G83" s="151"/>
      <c r="H83" s="151">
        <f>H81+H82</f>
        <v>0</v>
      </c>
      <c r="I83" s="151" t="e">
        <f>I81+I82</f>
        <v>#DIV/0!</v>
      </c>
    </row>
    <row r="84" spans="2:17" ht="15" thickBot="1">
      <c r="N84">
        <v>10657.82</v>
      </c>
      <c r="O84">
        <v>126.07</v>
      </c>
    </row>
    <row r="85" spans="2:17" ht="31.8">
      <c r="B85" s="229" t="s">
        <v>120</v>
      </c>
      <c r="C85" s="239" t="s">
        <v>130</v>
      </c>
      <c r="D85" s="239"/>
      <c r="E85" s="239"/>
      <c r="F85" s="239"/>
      <c r="G85" s="239"/>
      <c r="H85" s="239"/>
      <c r="I85" s="239" t="s">
        <v>133</v>
      </c>
      <c r="J85" s="239"/>
      <c r="K85" s="239"/>
      <c r="L85" s="239"/>
      <c r="M85" s="241"/>
      <c r="N85" s="158" t="s">
        <v>134</v>
      </c>
      <c r="O85" s="159" t="s">
        <v>135</v>
      </c>
      <c r="P85" s="232" t="s">
        <v>136</v>
      </c>
      <c r="Q85" s="233"/>
    </row>
    <row r="86" spans="2:17">
      <c r="B86" s="229"/>
      <c r="C86" s="239" t="s">
        <v>126</v>
      </c>
      <c r="D86" s="239"/>
      <c r="E86" s="239" t="s">
        <v>127</v>
      </c>
      <c r="F86" s="239"/>
      <c r="G86" s="152" t="s">
        <v>128</v>
      </c>
      <c r="H86" s="154" t="s">
        <v>129</v>
      </c>
      <c r="I86" s="153" t="s">
        <v>131</v>
      </c>
      <c r="J86" s="258" t="s">
        <v>132</v>
      </c>
      <c r="K86" s="258"/>
      <c r="L86" s="239" t="s">
        <v>129</v>
      </c>
      <c r="M86" s="241"/>
      <c r="N86" s="157"/>
      <c r="O86" s="153"/>
      <c r="P86" s="234"/>
      <c r="Q86" s="235"/>
    </row>
    <row r="87" spans="2:17" s="155" customFormat="1" ht="15.6">
      <c r="B87" s="156" t="s">
        <v>121</v>
      </c>
      <c r="C87" s="230"/>
      <c r="D87" s="240"/>
      <c r="E87" s="230">
        <f>E88+E89+E90</f>
        <v>0</v>
      </c>
      <c r="F87" s="240"/>
      <c r="G87" s="167"/>
      <c r="H87" s="193">
        <f>C87+E87</f>
        <v>0</v>
      </c>
      <c r="I87" s="156"/>
      <c r="J87" s="230">
        <f>J88+J89+J90</f>
        <v>0</v>
      </c>
      <c r="K87" s="240"/>
      <c r="L87" s="230">
        <f>I87+J87</f>
        <v>0</v>
      </c>
      <c r="M87" s="231"/>
      <c r="N87" s="161">
        <f>N88+N89+N90</f>
        <v>0</v>
      </c>
      <c r="O87" s="164">
        <f>O88+O89+O90</f>
        <v>0</v>
      </c>
      <c r="P87" s="227">
        <f>N87+O87</f>
        <v>0</v>
      </c>
      <c r="Q87" s="228"/>
    </row>
    <row r="88" spans="2:17" ht="15.6">
      <c r="B88" s="153" t="s">
        <v>99</v>
      </c>
      <c r="C88" s="238"/>
      <c r="D88" s="239"/>
      <c r="E88" s="242">
        <f>R14</f>
        <v>0</v>
      </c>
      <c r="F88" s="239"/>
      <c r="G88" s="167"/>
      <c r="H88" s="194">
        <f t="shared" ref="H88:H103" si="10">C88+E88</f>
        <v>0</v>
      </c>
      <c r="I88" s="153"/>
      <c r="J88" s="238">
        <f>S14</f>
        <v>0</v>
      </c>
      <c r="K88" s="239"/>
      <c r="L88" s="236">
        <f t="shared" ref="L88:L103" si="11">I88+J88</f>
        <v>0</v>
      </c>
      <c r="M88" s="237"/>
      <c r="N88" s="162">
        <f>H88*$N$84</f>
        <v>0</v>
      </c>
      <c r="O88" s="160">
        <f>L88*$O$84</f>
        <v>0</v>
      </c>
      <c r="P88" s="225">
        <f t="shared" ref="P88:P103" si="12">N88+O88</f>
        <v>0</v>
      </c>
      <c r="Q88" s="226"/>
    </row>
    <row r="89" spans="2:17" ht="15.6">
      <c r="B89" s="153" t="s">
        <v>100</v>
      </c>
      <c r="C89" s="238"/>
      <c r="D89" s="239"/>
      <c r="E89" s="242">
        <f t="shared" ref="E89:E90" si="13">R15</f>
        <v>0</v>
      </c>
      <c r="F89" s="239"/>
      <c r="G89" s="167"/>
      <c r="H89" s="194">
        <f t="shared" si="10"/>
        <v>0</v>
      </c>
      <c r="I89" s="153"/>
      <c r="J89" s="238">
        <f t="shared" ref="J89:J90" si="14">S15</f>
        <v>0</v>
      </c>
      <c r="K89" s="239"/>
      <c r="L89" s="236">
        <f t="shared" si="11"/>
        <v>0</v>
      </c>
      <c r="M89" s="237"/>
      <c r="N89" s="162">
        <f t="shared" ref="N89:N102" si="15">H89*$N$84</f>
        <v>0</v>
      </c>
      <c r="O89" s="160">
        <f t="shared" ref="O89:O102" si="16">L89*$O$84</f>
        <v>0</v>
      </c>
      <c r="P89" s="225">
        <f t="shared" si="12"/>
        <v>0</v>
      </c>
      <c r="Q89" s="226"/>
    </row>
    <row r="90" spans="2:17" ht="15.6">
      <c r="B90" s="153" t="s">
        <v>101</v>
      </c>
      <c r="C90" s="238"/>
      <c r="D90" s="239"/>
      <c r="E90" s="242">
        <f t="shared" si="13"/>
        <v>0</v>
      </c>
      <c r="F90" s="239"/>
      <c r="G90" s="167"/>
      <c r="H90" s="194">
        <f t="shared" si="10"/>
        <v>0</v>
      </c>
      <c r="I90" s="153"/>
      <c r="J90" s="238">
        <f t="shared" si="14"/>
        <v>0</v>
      </c>
      <c r="K90" s="239"/>
      <c r="L90" s="236">
        <f t="shared" si="11"/>
        <v>0</v>
      </c>
      <c r="M90" s="237"/>
      <c r="N90" s="162">
        <f t="shared" si="15"/>
        <v>0</v>
      </c>
      <c r="O90" s="160">
        <f t="shared" si="16"/>
        <v>0</v>
      </c>
      <c r="P90" s="225">
        <f t="shared" si="12"/>
        <v>0</v>
      </c>
      <c r="Q90" s="226"/>
    </row>
    <row r="91" spans="2:17" s="155" customFormat="1" ht="15.6">
      <c r="B91" s="156" t="s">
        <v>122</v>
      </c>
      <c r="C91" s="230"/>
      <c r="D91" s="240"/>
      <c r="E91" s="230">
        <f>E92+E93+E94</f>
        <v>0</v>
      </c>
      <c r="F91" s="240"/>
      <c r="G91" s="167"/>
      <c r="H91" s="193">
        <f t="shared" si="10"/>
        <v>0</v>
      </c>
      <c r="I91" s="156"/>
      <c r="J91" s="230">
        <f>J92+J93+J94</f>
        <v>0</v>
      </c>
      <c r="K91" s="240"/>
      <c r="L91" s="230">
        <f t="shared" si="11"/>
        <v>0</v>
      </c>
      <c r="M91" s="231"/>
      <c r="N91" s="161">
        <f>N92+N93+N94</f>
        <v>0</v>
      </c>
      <c r="O91" s="164">
        <f>O92+O93+O94</f>
        <v>0</v>
      </c>
      <c r="P91" s="227">
        <f t="shared" si="12"/>
        <v>0</v>
      </c>
      <c r="Q91" s="228"/>
    </row>
    <row r="92" spans="2:17" ht="15.6">
      <c r="B92" s="153" t="s">
        <v>102</v>
      </c>
      <c r="C92" s="238"/>
      <c r="D92" s="239"/>
      <c r="E92" s="242">
        <f>R17</f>
        <v>0</v>
      </c>
      <c r="F92" s="239"/>
      <c r="G92" s="167"/>
      <c r="H92" s="194">
        <f t="shared" si="10"/>
        <v>0</v>
      </c>
      <c r="I92" s="153"/>
      <c r="J92" s="238">
        <f>S17</f>
        <v>0</v>
      </c>
      <c r="K92" s="239"/>
      <c r="L92" s="236">
        <f t="shared" si="11"/>
        <v>0</v>
      </c>
      <c r="M92" s="237"/>
      <c r="N92" s="162">
        <f t="shared" si="15"/>
        <v>0</v>
      </c>
      <c r="O92" s="160">
        <f t="shared" si="16"/>
        <v>0</v>
      </c>
      <c r="P92" s="225">
        <f t="shared" si="12"/>
        <v>0</v>
      </c>
      <c r="Q92" s="226"/>
    </row>
    <row r="93" spans="2:17" ht="15.6">
      <c r="B93" s="153" t="s">
        <v>47</v>
      </c>
      <c r="C93" s="238"/>
      <c r="D93" s="239"/>
      <c r="E93" s="242">
        <f t="shared" ref="E93:E94" si="17">R18</f>
        <v>0</v>
      </c>
      <c r="F93" s="239"/>
      <c r="G93" s="167"/>
      <c r="H93" s="194">
        <f t="shared" si="10"/>
        <v>0</v>
      </c>
      <c r="I93" s="153"/>
      <c r="J93" s="238">
        <f t="shared" ref="J93:J94" si="18">S18</f>
        <v>0</v>
      </c>
      <c r="K93" s="239"/>
      <c r="L93" s="236">
        <f t="shared" si="11"/>
        <v>0</v>
      </c>
      <c r="M93" s="237"/>
      <c r="N93" s="162">
        <f t="shared" si="15"/>
        <v>0</v>
      </c>
      <c r="O93" s="160">
        <f t="shared" si="16"/>
        <v>0</v>
      </c>
      <c r="P93" s="225">
        <f t="shared" si="12"/>
        <v>0</v>
      </c>
      <c r="Q93" s="226"/>
    </row>
    <row r="94" spans="2:17" ht="15.6">
      <c r="B94" s="153" t="s">
        <v>95</v>
      </c>
      <c r="C94" s="238"/>
      <c r="D94" s="239"/>
      <c r="E94" s="242">
        <f t="shared" si="17"/>
        <v>0</v>
      </c>
      <c r="F94" s="239"/>
      <c r="G94" s="167"/>
      <c r="H94" s="194">
        <f t="shared" si="10"/>
        <v>0</v>
      </c>
      <c r="I94" s="153"/>
      <c r="J94" s="238">
        <f t="shared" si="18"/>
        <v>0</v>
      </c>
      <c r="K94" s="239"/>
      <c r="L94" s="236">
        <f t="shared" si="11"/>
        <v>0</v>
      </c>
      <c r="M94" s="237"/>
      <c r="N94" s="162">
        <f t="shared" si="15"/>
        <v>0</v>
      </c>
      <c r="O94" s="160">
        <f t="shared" si="16"/>
        <v>0</v>
      </c>
      <c r="P94" s="225">
        <f t="shared" si="12"/>
        <v>0</v>
      </c>
      <c r="Q94" s="226"/>
    </row>
    <row r="95" spans="2:17" s="155" customFormat="1" ht="15.6">
      <c r="B95" s="156" t="s">
        <v>123</v>
      </c>
      <c r="C95" s="230"/>
      <c r="D95" s="240"/>
      <c r="E95" s="230">
        <f>E96+E97+E98</f>
        <v>0</v>
      </c>
      <c r="F95" s="240"/>
      <c r="G95" s="167"/>
      <c r="H95" s="193">
        <f t="shared" si="10"/>
        <v>0</v>
      </c>
      <c r="I95" s="156"/>
      <c r="J95" s="230">
        <f>J96+J97+J98</f>
        <v>0</v>
      </c>
      <c r="K95" s="240"/>
      <c r="L95" s="230">
        <f t="shared" si="11"/>
        <v>0</v>
      </c>
      <c r="M95" s="231"/>
      <c r="N95" s="161">
        <f>N96+N97+N98</f>
        <v>0</v>
      </c>
      <c r="O95" s="164">
        <f>O96+O97+O98</f>
        <v>0</v>
      </c>
      <c r="P95" s="227">
        <f t="shared" si="12"/>
        <v>0</v>
      </c>
      <c r="Q95" s="228"/>
    </row>
    <row r="96" spans="2:17" ht="15.6">
      <c r="B96" s="153" t="s">
        <v>96</v>
      </c>
      <c r="C96" s="239"/>
      <c r="D96" s="239"/>
      <c r="E96" s="239"/>
      <c r="F96" s="239"/>
      <c r="G96" s="167"/>
      <c r="H96" s="194">
        <f t="shared" si="10"/>
        <v>0</v>
      </c>
      <c r="I96" s="153"/>
      <c r="J96" s="239"/>
      <c r="K96" s="239"/>
      <c r="L96" s="236"/>
      <c r="M96" s="237"/>
      <c r="N96" s="162">
        <f t="shared" si="15"/>
        <v>0</v>
      </c>
      <c r="O96" s="160">
        <f t="shared" si="16"/>
        <v>0</v>
      </c>
      <c r="P96" s="225">
        <f t="shared" si="12"/>
        <v>0</v>
      </c>
      <c r="Q96" s="226"/>
    </row>
    <row r="97" spans="2:17" ht="15.6">
      <c r="B97" s="153" t="s">
        <v>103</v>
      </c>
      <c r="C97" s="239"/>
      <c r="D97" s="239"/>
      <c r="E97" s="239"/>
      <c r="F97" s="239"/>
      <c r="G97" s="167"/>
      <c r="H97" s="194">
        <f t="shared" si="10"/>
        <v>0</v>
      </c>
      <c r="I97" s="153"/>
      <c r="J97" s="239"/>
      <c r="K97" s="239"/>
      <c r="L97" s="236"/>
      <c r="M97" s="237"/>
      <c r="N97" s="162">
        <f t="shared" si="15"/>
        <v>0</v>
      </c>
      <c r="O97" s="160">
        <f t="shared" si="16"/>
        <v>0</v>
      </c>
      <c r="P97" s="225">
        <f t="shared" si="12"/>
        <v>0</v>
      </c>
      <c r="Q97" s="226"/>
    </row>
    <row r="98" spans="2:17" ht="15.6">
      <c r="B98" s="153" t="s">
        <v>104</v>
      </c>
      <c r="C98" s="238"/>
      <c r="D98" s="239"/>
      <c r="E98" s="242">
        <f>R22</f>
        <v>0</v>
      </c>
      <c r="F98" s="239"/>
      <c r="G98" s="167"/>
      <c r="H98" s="194">
        <f t="shared" si="10"/>
        <v>0</v>
      </c>
      <c r="I98" s="153"/>
      <c r="J98" s="238">
        <f>S22</f>
        <v>0</v>
      </c>
      <c r="K98" s="239"/>
      <c r="L98" s="236">
        <f t="shared" si="11"/>
        <v>0</v>
      </c>
      <c r="M98" s="237"/>
      <c r="N98" s="162">
        <f t="shared" si="15"/>
        <v>0</v>
      </c>
      <c r="O98" s="160">
        <f t="shared" si="16"/>
        <v>0</v>
      </c>
      <c r="P98" s="225">
        <f t="shared" si="12"/>
        <v>0</v>
      </c>
      <c r="Q98" s="226"/>
    </row>
    <row r="99" spans="2:17" s="155" customFormat="1" ht="15.6">
      <c r="B99" s="156" t="s">
        <v>124</v>
      </c>
      <c r="C99" s="230"/>
      <c r="D99" s="240"/>
      <c r="E99" s="230">
        <f>E100+E101+E102</f>
        <v>0</v>
      </c>
      <c r="F99" s="240"/>
      <c r="G99" s="167"/>
      <c r="H99" s="193">
        <f t="shared" si="10"/>
        <v>0</v>
      </c>
      <c r="I99" s="156"/>
      <c r="J99" s="230">
        <f>J100+J101+J102</f>
        <v>0</v>
      </c>
      <c r="K99" s="240"/>
      <c r="L99" s="230">
        <f t="shared" si="11"/>
        <v>0</v>
      </c>
      <c r="M99" s="231"/>
      <c r="N99" s="161">
        <f>N100+N101+N102</f>
        <v>0</v>
      </c>
      <c r="O99" s="164">
        <f>O100+O101+O102</f>
        <v>0</v>
      </c>
      <c r="P99" s="227">
        <f t="shared" si="12"/>
        <v>0</v>
      </c>
      <c r="Q99" s="228"/>
    </row>
    <row r="100" spans="2:17" ht="15.6">
      <c r="B100" s="153" t="s">
        <v>105</v>
      </c>
      <c r="C100" s="238"/>
      <c r="D100" s="239"/>
      <c r="E100" s="242">
        <f>R11</f>
        <v>0</v>
      </c>
      <c r="F100" s="239"/>
      <c r="G100" s="167"/>
      <c r="H100" s="194">
        <f t="shared" si="10"/>
        <v>0</v>
      </c>
      <c r="I100" s="153"/>
      <c r="J100" s="238">
        <f>S11</f>
        <v>0</v>
      </c>
      <c r="K100" s="239"/>
      <c r="L100" s="236">
        <f t="shared" si="11"/>
        <v>0</v>
      </c>
      <c r="M100" s="237"/>
      <c r="N100" s="162">
        <f t="shared" si="15"/>
        <v>0</v>
      </c>
      <c r="O100" s="160">
        <f t="shared" si="16"/>
        <v>0</v>
      </c>
      <c r="P100" s="225">
        <f t="shared" si="12"/>
        <v>0</v>
      </c>
      <c r="Q100" s="226"/>
    </row>
    <row r="101" spans="2:17" ht="15.6">
      <c r="B101" s="153" t="s">
        <v>106</v>
      </c>
      <c r="C101" s="238"/>
      <c r="D101" s="239"/>
      <c r="E101" s="242">
        <f t="shared" ref="E101:E102" si="19">R12</f>
        <v>0</v>
      </c>
      <c r="F101" s="239"/>
      <c r="G101" s="167"/>
      <c r="H101" s="194">
        <f t="shared" si="10"/>
        <v>0</v>
      </c>
      <c r="I101" s="153"/>
      <c r="J101" s="238">
        <f t="shared" ref="J101:J102" si="20">S12</f>
        <v>0</v>
      </c>
      <c r="K101" s="239"/>
      <c r="L101" s="236">
        <f t="shared" si="11"/>
        <v>0</v>
      </c>
      <c r="M101" s="237"/>
      <c r="N101" s="162">
        <f t="shared" si="15"/>
        <v>0</v>
      </c>
      <c r="O101" s="160">
        <f t="shared" si="16"/>
        <v>0</v>
      </c>
      <c r="P101" s="225">
        <f t="shared" si="12"/>
        <v>0</v>
      </c>
      <c r="Q101" s="226"/>
    </row>
    <row r="102" spans="2:17" ht="15.6">
      <c r="B102" s="153" t="s">
        <v>107</v>
      </c>
      <c r="C102" s="238"/>
      <c r="D102" s="239"/>
      <c r="E102" s="242">
        <f t="shared" si="19"/>
        <v>0</v>
      </c>
      <c r="F102" s="239"/>
      <c r="G102" s="167"/>
      <c r="H102" s="194">
        <f t="shared" si="10"/>
        <v>0</v>
      </c>
      <c r="I102" s="153"/>
      <c r="J102" s="238">
        <f t="shared" si="20"/>
        <v>0</v>
      </c>
      <c r="K102" s="239"/>
      <c r="L102" s="236">
        <f t="shared" si="11"/>
        <v>0</v>
      </c>
      <c r="M102" s="237"/>
      <c r="N102" s="162">
        <f t="shared" si="15"/>
        <v>0</v>
      </c>
      <c r="O102" s="160">
        <f t="shared" si="16"/>
        <v>0</v>
      </c>
      <c r="P102" s="225">
        <f t="shared" si="12"/>
        <v>0</v>
      </c>
      <c r="Q102" s="226"/>
    </row>
    <row r="103" spans="2:17" s="155" customFormat="1" ht="16.2" thickBot="1">
      <c r="B103" s="156" t="s">
        <v>125</v>
      </c>
      <c r="C103" s="230"/>
      <c r="D103" s="240"/>
      <c r="E103" s="230">
        <f>E87+E91+E95+E99</f>
        <v>0</v>
      </c>
      <c r="F103" s="240"/>
      <c r="G103" s="167"/>
      <c r="H103" s="193">
        <f t="shared" si="10"/>
        <v>0</v>
      </c>
      <c r="I103" s="156"/>
      <c r="J103" s="230">
        <f>J87+J91+J95+J99</f>
        <v>0</v>
      </c>
      <c r="K103" s="240"/>
      <c r="L103" s="230">
        <f t="shared" si="11"/>
        <v>0</v>
      </c>
      <c r="M103" s="231"/>
      <c r="N103" s="163">
        <f>N87+N91+N95+N99</f>
        <v>0</v>
      </c>
      <c r="O103" s="165">
        <f>O87+O91+O95+O99</f>
        <v>0</v>
      </c>
      <c r="P103" s="227">
        <f t="shared" si="12"/>
        <v>0</v>
      </c>
      <c r="Q103" s="228"/>
    </row>
    <row r="104" spans="2:17">
      <c r="N104" s="224" t="s">
        <v>137</v>
      </c>
      <c r="O104" s="224"/>
      <c r="P104" s="225">
        <f>P103-P103/1.18</f>
        <v>0</v>
      </c>
      <c r="Q104" s="226"/>
    </row>
  </sheetData>
  <protectedRanges>
    <protectedRange password="C14A" sqref="O2:O3 O39:O40" name="Диапазон4_1_1"/>
    <protectedRange password="C14A" sqref="B2:C5 O4 E10:K10 C10 A2:A7 D2:N3 J4:M4 K6:N7 D5:S5 B39:C42 O41 E47:K47 C47 A39:A44 D39:N40 J41:M41 K43:N44 D42:Q42" name="Диапазон4_1_1_1"/>
    <protectedRange password="C14A" sqref="B6 C6:C7 B43 C43:C44" name="Диапазон5_1_1_1"/>
    <protectedRange password="C14A" sqref="O6:O7 O43:O44" name="Диапазон4_3"/>
    <protectedRange password="C14A" sqref="D4 E6:J7 D41 E43:J44" name="Диапазон4_5"/>
    <protectedRange password="C14A" sqref="D6:D7 D43:D44" name="Диапазон4_2_1"/>
    <protectedRange password="C14A" sqref="E4:I4 N4 E41:I41 N41" name="Диапазон4_1_2_1"/>
    <protectedRange password="C14A" sqref="A29:E30 G29:L30" name="Диапазон4_2_2_1"/>
    <protectedRange password="C14A" sqref="A62:E63 G62:L62 G63:J63" name="Диапазон4_2_2"/>
    <protectedRange password="C14A" sqref="A25:E26 G25:L25 G26:J26" name="Диапазон4_2_2_2"/>
  </protectedRanges>
  <mergeCells count="135">
    <mergeCell ref="B82:F82"/>
    <mergeCell ref="B83:F83"/>
    <mergeCell ref="G43:G44"/>
    <mergeCell ref="H43:H44"/>
    <mergeCell ref="J43:J44"/>
    <mergeCell ref="K43:K44"/>
    <mergeCell ref="L43:L44"/>
    <mergeCell ref="B41:C41"/>
    <mergeCell ref="H78:H80"/>
    <mergeCell ref="B81:F81"/>
    <mergeCell ref="B42:C42"/>
    <mergeCell ref="B4:C4"/>
    <mergeCell ref="F6:F7"/>
    <mergeCell ref="G6:G7"/>
    <mergeCell ref="M1:N1"/>
    <mergeCell ref="O4:Q4"/>
    <mergeCell ref="E6:E7"/>
    <mergeCell ref="K6:K7"/>
    <mergeCell ref="L6:L7"/>
    <mergeCell ref="O6:Q6"/>
    <mergeCell ref="O7:Q7"/>
    <mergeCell ref="J6:J7"/>
    <mergeCell ref="O42:Q42"/>
    <mergeCell ref="A43:A44"/>
    <mergeCell ref="B43:C44"/>
    <mergeCell ref="D43:D44"/>
    <mergeCell ref="E43:E44"/>
    <mergeCell ref="F43:F44"/>
    <mergeCell ref="O43:Q43"/>
    <mergeCell ref="O44:Q44"/>
    <mergeCell ref="A6:A7"/>
    <mergeCell ref="R5:S5"/>
    <mergeCell ref="O5:Q5"/>
    <mergeCell ref="H6:H7"/>
    <mergeCell ref="B5:C5"/>
    <mergeCell ref="B6:C7"/>
    <mergeCell ref="D6:D7"/>
    <mergeCell ref="M38:N38"/>
    <mergeCell ref="O41:Q41"/>
    <mergeCell ref="L101:M101"/>
    <mergeCell ref="E95:F95"/>
    <mergeCell ref="E96:F96"/>
    <mergeCell ref="E97:F97"/>
    <mergeCell ref="E98:F98"/>
    <mergeCell ref="C96:D96"/>
    <mergeCell ref="C97:D97"/>
    <mergeCell ref="C98:D98"/>
    <mergeCell ref="C99:D99"/>
    <mergeCell ref="C100:D100"/>
    <mergeCell ref="C95:D95"/>
    <mergeCell ref="E99:F99"/>
    <mergeCell ref="E100:F100"/>
    <mergeCell ref="E101:F101"/>
    <mergeCell ref="C85:H85"/>
    <mergeCell ref="J86:K86"/>
    <mergeCell ref="E102:F102"/>
    <mergeCell ref="E103:F103"/>
    <mergeCell ref="C101:D101"/>
    <mergeCell ref="C102:D102"/>
    <mergeCell ref="C103:D103"/>
    <mergeCell ref="J90:K90"/>
    <mergeCell ref="J91:K91"/>
    <mergeCell ref="J92:K92"/>
    <mergeCell ref="J93:K93"/>
    <mergeCell ref="J94:K94"/>
    <mergeCell ref="E90:F90"/>
    <mergeCell ref="E91:F91"/>
    <mergeCell ref="E92:F92"/>
    <mergeCell ref="E93:F93"/>
    <mergeCell ref="E94:F94"/>
    <mergeCell ref="C91:D91"/>
    <mergeCell ref="C92:D92"/>
    <mergeCell ref="C93:D93"/>
    <mergeCell ref="C94:D94"/>
    <mergeCell ref="C90:D90"/>
    <mergeCell ref="J87:K87"/>
    <mergeCell ref="J88:K88"/>
    <mergeCell ref="J89:K89"/>
    <mergeCell ref="I85:M85"/>
    <mergeCell ref="E86:F86"/>
    <mergeCell ref="E87:F87"/>
    <mergeCell ref="E88:F88"/>
    <mergeCell ref="E89:F89"/>
    <mergeCell ref="C86:D86"/>
    <mergeCell ref="C87:D87"/>
    <mergeCell ref="C88:D88"/>
    <mergeCell ref="C89:D89"/>
    <mergeCell ref="L102:M102"/>
    <mergeCell ref="J100:K100"/>
    <mergeCell ref="J101:K101"/>
    <mergeCell ref="J102:K102"/>
    <mergeCell ref="J103:K103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J95:K95"/>
    <mergeCell ref="J96:K96"/>
    <mergeCell ref="J97:K97"/>
    <mergeCell ref="J98:K98"/>
    <mergeCell ref="J99:K99"/>
    <mergeCell ref="L99:M99"/>
    <mergeCell ref="L100:M100"/>
    <mergeCell ref="N104:O104"/>
    <mergeCell ref="P104:Q104"/>
    <mergeCell ref="P99:Q99"/>
    <mergeCell ref="P100:Q100"/>
    <mergeCell ref="P101:Q101"/>
    <mergeCell ref="P102:Q102"/>
    <mergeCell ref="P103:Q103"/>
    <mergeCell ref="B85:B86"/>
    <mergeCell ref="L103:M103"/>
    <mergeCell ref="P85:Q85"/>
    <mergeCell ref="P86:Q86"/>
    <mergeCell ref="P87:Q87"/>
    <mergeCell ref="P88:Q88"/>
    <mergeCell ref="P89:Q89"/>
    <mergeCell ref="P90:Q90"/>
    <mergeCell ref="P91:Q91"/>
    <mergeCell ref="P92:Q92"/>
    <mergeCell ref="P93:Q93"/>
    <mergeCell ref="P94:Q94"/>
    <mergeCell ref="P95:Q95"/>
    <mergeCell ref="P96:Q96"/>
    <mergeCell ref="P97:Q97"/>
    <mergeCell ref="P98:Q98"/>
    <mergeCell ref="L98:M98"/>
  </mergeCells>
  <pageMargins left="0" right="0" top="0" bottom="0" header="0.31496062992125984" footer="0.31496062992125984"/>
  <pageSetup paperSize="9" scale="77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1.1 (отопление)</vt:lpstr>
      <vt:lpstr>Приложение 1.2 (ГВС)</vt:lpstr>
      <vt:lpstr>'Приложение 1.1 (отопление)'!Область_печати</vt:lpstr>
      <vt:lpstr>'Приложение 1.2 (ГВС)'!Область_печати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2016-12-26T06:13:14Z</dcterms:modified>
</cp:coreProperties>
</file>